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\Desktop\"/>
    </mc:Choice>
  </mc:AlternateContent>
  <xr:revisionPtr revIDLastSave="0" documentId="8_{16932C6E-F3A5-440B-9950-FCBD050442BD}" xr6:coauthVersionLast="47" xr6:coauthVersionMax="47" xr10:uidLastSave="{00000000-0000-0000-0000-000000000000}"/>
  <bookViews>
    <workbookView xWindow="-120" yWindow="-120" windowWidth="29040" windowHeight="15720"/>
  </bookViews>
  <sheets>
    <sheet name="1-11 сынып" sheetId="1" r:id="rId1"/>
    <sheet name="даярлық сынып" sheetId="2" r:id="rId2"/>
  </sheets>
  <definedNames>
    <definedName name="_xlnm._FilterDatabase" localSheetId="0" hidden="1">'1-11 сынып'!$A$1:$JW$274</definedName>
  </definedNames>
  <calcPr calcId="0"/>
</workbook>
</file>

<file path=xl/calcChain.xml><?xml version="1.0" encoding="utf-8"?>
<calcChain xmlns="http://schemas.openxmlformats.org/spreadsheetml/2006/main">
  <c r="AH263" i="1" l="1"/>
  <c r="AF263" i="1"/>
  <c r="AE263" i="1"/>
  <c r="AD263" i="1"/>
  <c r="AC263" i="1"/>
  <c r="U263" i="1"/>
  <c r="T263" i="1"/>
  <c r="S263" i="1"/>
  <c r="R263" i="1"/>
  <c r="C263" i="1"/>
  <c r="AF262" i="1"/>
  <c r="AE262" i="1"/>
  <c r="AD262" i="1"/>
  <c r="AC262" i="1"/>
  <c r="U262" i="1"/>
  <c r="T262" i="1"/>
  <c r="S262" i="1"/>
  <c r="R262" i="1"/>
  <c r="C262" i="1"/>
  <c r="AH261" i="1"/>
  <c r="AF261" i="1"/>
  <c r="AE261" i="1"/>
  <c r="AD261" i="1"/>
  <c r="AC261" i="1"/>
  <c r="U261" i="1"/>
  <c r="T261" i="1"/>
  <c r="S261" i="1"/>
  <c r="R261" i="1"/>
  <c r="C261" i="1"/>
  <c r="AH260" i="1"/>
  <c r="AF260" i="1"/>
  <c r="AE260" i="1"/>
  <c r="AD260" i="1"/>
  <c r="AC260" i="1"/>
  <c r="U260" i="1"/>
  <c r="T260" i="1"/>
  <c r="S260" i="1"/>
  <c r="R260" i="1"/>
  <c r="C260" i="1"/>
  <c r="AH259" i="1"/>
  <c r="AF259" i="1"/>
  <c r="AE259" i="1"/>
  <c r="AD259" i="1"/>
  <c r="AC259" i="1"/>
  <c r="U259" i="1"/>
  <c r="T259" i="1"/>
  <c r="S259" i="1"/>
  <c r="R259" i="1"/>
  <c r="C259" i="1"/>
  <c r="AH258" i="1"/>
  <c r="AF258" i="1"/>
  <c r="AE258" i="1"/>
  <c r="AD258" i="1"/>
  <c r="AC258" i="1"/>
  <c r="U258" i="1"/>
  <c r="T258" i="1"/>
  <c r="S258" i="1"/>
  <c r="R258" i="1"/>
  <c r="C258" i="1"/>
  <c r="AF257" i="1"/>
  <c r="AE257" i="1"/>
  <c r="AD257" i="1"/>
  <c r="AC257" i="1"/>
  <c r="U257" i="1"/>
  <c r="T257" i="1"/>
  <c r="S257" i="1"/>
  <c r="R257" i="1"/>
  <c r="C257" i="1"/>
  <c r="AH256" i="1"/>
  <c r="AF256" i="1"/>
  <c r="AE256" i="1"/>
  <c r="AD256" i="1"/>
  <c r="AC256" i="1"/>
  <c r="U256" i="1"/>
  <c r="T256" i="1"/>
  <c r="S256" i="1"/>
  <c r="R256" i="1"/>
  <c r="C256" i="1"/>
  <c r="AH255" i="1"/>
  <c r="AF255" i="1"/>
  <c r="AE255" i="1"/>
  <c r="AD255" i="1"/>
  <c r="AC255" i="1"/>
  <c r="U255" i="1"/>
  <c r="T255" i="1"/>
  <c r="S255" i="1"/>
  <c r="R255" i="1"/>
  <c r="C255" i="1"/>
  <c r="EJ254" i="1"/>
  <c r="AH254" i="1"/>
  <c r="AF254" i="1"/>
  <c r="AE254" i="1"/>
  <c r="AD254" i="1"/>
  <c r="AC254" i="1"/>
  <c r="U254" i="1"/>
  <c r="T254" i="1"/>
  <c r="S254" i="1"/>
  <c r="R254" i="1"/>
  <c r="C254" i="1"/>
  <c r="EJ253" i="1"/>
  <c r="AH253" i="1"/>
  <c r="AF253" i="1"/>
  <c r="AE253" i="1"/>
  <c r="AD253" i="1"/>
  <c r="AC253" i="1"/>
  <c r="U253" i="1"/>
  <c r="T253" i="1"/>
  <c r="S253" i="1"/>
  <c r="R253" i="1"/>
  <c r="C253" i="1"/>
  <c r="EJ252" i="1"/>
  <c r="AH252" i="1"/>
  <c r="AF252" i="1"/>
  <c r="AE252" i="1"/>
  <c r="AD252" i="1"/>
  <c r="AC252" i="1"/>
  <c r="U252" i="1"/>
  <c r="T252" i="1"/>
  <c r="S252" i="1"/>
  <c r="R252" i="1"/>
  <c r="C252" i="1"/>
  <c r="EJ251" i="1"/>
  <c r="AH251" i="1"/>
  <c r="AF251" i="1"/>
  <c r="AE251" i="1"/>
  <c r="AD251" i="1"/>
  <c r="AC251" i="1"/>
  <c r="U251" i="1"/>
  <c r="T251" i="1"/>
  <c r="S251" i="1"/>
  <c r="R251" i="1"/>
  <c r="C251" i="1"/>
  <c r="EJ250" i="1"/>
  <c r="AH250" i="1"/>
  <c r="AF250" i="1"/>
  <c r="AE250" i="1"/>
  <c r="AD250" i="1"/>
  <c r="AC250" i="1"/>
  <c r="U250" i="1"/>
  <c r="T250" i="1"/>
  <c r="S250" i="1"/>
  <c r="R250" i="1"/>
  <c r="C250" i="1"/>
  <c r="EJ249" i="1"/>
  <c r="BE249" i="1"/>
  <c r="AH249" i="1"/>
  <c r="AF249" i="1"/>
  <c r="AE249" i="1"/>
  <c r="AD249" i="1"/>
  <c r="AC249" i="1"/>
  <c r="U249" i="1"/>
  <c r="T249" i="1"/>
  <c r="S249" i="1"/>
  <c r="R249" i="1"/>
  <c r="C249" i="1"/>
  <c r="EJ248" i="1"/>
  <c r="AH248" i="1"/>
  <c r="AF248" i="1"/>
  <c r="AE248" i="1"/>
  <c r="AD248" i="1"/>
  <c r="AC248" i="1"/>
  <c r="U248" i="1"/>
  <c r="T248" i="1"/>
  <c r="S248" i="1"/>
  <c r="R248" i="1"/>
  <c r="C248" i="1"/>
  <c r="EJ247" i="1"/>
  <c r="BE247" i="1"/>
  <c r="AH247" i="1"/>
  <c r="AF247" i="1"/>
  <c r="AE247" i="1"/>
  <c r="AD247" i="1"/>
  <c r="AC247" i="1"/>
  <c r="U247" i="1"/>
  <c r="T247" i="1"/>
  <c r="S247" i="1"/>
  <c r="R247" i="1"/>
  <c r="C247" i="1"/>
  <c r="EJ246" i="1"/>
  <c r="AH246" i="1"/>
  <c r="AF246" i="1"/>
  <c r="AE246" i="1"/>
  <c r="AD246" i="1"/>
  <c r="AC246" i="1"/>
  <c r="U246" i="1"/>
  <c r="T246" i="1"/>
  <c r="S246" i="1"/>
  <c r="R246" i="1"/>
  <c r="C246" i="1"/>
  <c r="EJ245" i="1"/>
  <c r="AH245" i="1"/>
  <c r="AF245" i="1"/>
  <c r="AE245" i="1"/>
  <c r="AD245" i="1"/>
  <c r="AC245" i="1"/>
  <c r="U245" i="1"/>
  <c r="T245" i="1"/>
  <c r="S245" i="1"/>
  <c r="R245" i="1"/>
  <c r="C245" i="1"/>
  <c r="EJ244" i="1"/>
  <c r="BE244" i="1"/>
  <c r="AH244" i="1"/>
  <c r="AF244" i="1"/>
  <c r="AE244" i="1"/>
  <c r="AD244" i="1"/>
  <c r="AC244" i="1"/>
  <c r="U244" i="1"/>
  <c r="T244" i="1"/>
  <c r="S244" i="1"/>
  <c r="R244" i="1"/>
  <c r="C244" i="1"/>
  <c r="AF243" i="1"/>
  <c r="AE243" i="1"/>
  <c r="AD243" i="1"/>
  <c r="AC243" i="1"/>
  <c r="U243" i="1"/>
  <c r="T243" i="1"/>
  <c r="S243" i="1"/>
  <c r="R243" i="1"/>
  <c r="C243" i="1"/>
  <c r="AF242" i="1"/>
  <c r="AE242" i="1"/>
  <c r="AD242" i="1"/>
  <c r="AC242" i="1"/>
  <c r="U242" i="1"/>
  <c r="T242" i="1"/>
  <c r="S242" i="1"/>
  <c r="R242" i="1"/>
  <c r="C242" i="1"/>
  <c r="EJ241" i="1"/>
  <c r="AH241" i="1"/>
  <c r="AF241" i="1"/>
  <c r="AE241" i="1"/>
  <c r="AD241" i="1"/>
  <c r="AC241" i="1"/>
  <c r="U241" i="1"/>
  <c r="T241" i="1"/>
  <c r="S241" i="1"/>
  <c r="R241" i="1"/>
  <c r="C241" i="1"/>
  <c r="EJ240" i="1"/>
  <c r="AH240" i="1"/>
  <c r="AF240" i="1"/>
  <c r="AE240" i="1"/>
  <c r="AD240" i="1"/>
  <c r="AC240" i="1"/>
  <c r="U240" i="1"/>
  <c r="T240" i="1"/>
  <c r="S240" i="1"/>
  <c r="R240" i="1"/>
  <c r="C240" i="1"/>
  <c r="AF239" i="1"/>
  <c r="AE239" i="1"/>
  <c r="AD239" i="1"/>
  <c r="AC239" i="1"/>
  <c r="U239" i="1"/>
  <c r="T239" i="1"/>
  <c r="S239" i="1"/>
  <c r="R239" i="1"/>
  <c r="C239" i="1"/>
  <c r="AF238" i="1"/>
  <c r="AE238" i="1"/>
  <c r="AD238" i="1"/>
  <c r="AC238" i="1"/>
  <c r="U238" i="1"/>
  <c r="T238" i="1"/>
  <c r="S238" i="1"/>
  <c r="R238" i="1"/>
  <c r="C238" i="1"/>
  <c r="JH237" i="1"/>
  <c r="JG237" i="1"/>
  <c r="JF237" i="1"/>
  <c r="JD237" i="1"/>
  <c r="JC237" i="1"/>
  <c r="JA237" i="1"/>
  <c r="IY237" i="1"/>
  <c r="IX237" i="1"/>
  <c r="IW237" i="1"/>
  <c r="IV237" i="1"/>
  <c r="IU237" i="1"/>
  <c r="IR237" i="1"/>
  <c r="IQ237" i="1"/>
  <c r="IP237" i="1"/>
  <c r="IO237" i="1"/>
  <c r="IN237" i="1"/>
  <c r="IM237" i="1"/>
  <c r="IL237" i="1"/>
  <c r="IK237" i="1"/>
  <c r="IJ237" i="1"/>
  <c r="AF237" i="1"/>
  <c r="AE237" i="1"/>
  <c r="AD237" i="1"/>
  <c r="AC237" i="1"/>
  <c r="U237" i="1"/>
  <c r="T237" i="1"/>
  <c r="S237" i="1"/>
  <c r="R237" i="1"/>
  <c r="C237" i="1"/>
  <c r="JH236" i="1"/>
  <c r="JG236" i="1"/>
  <c r="JF236" i="1"/>
  <c r="JD236" i="1"/>
  <c r="JC236" i="1"/>
  <c r="JA236" i="1"/>
  <c r="IY236" i="1"/>
  <c r="IX236" i="1"/>
  <c r="IW236" i="1"/>
  <c r="IV236" i="1"/>
  <c r="IU236" i="1"/>
  <c r="IR236" i="1"/>
  <c r="IQ236" i="1"/>
  <c r="IP236" i="1"/>
  <c r="IO236" i="1"/>
  <c r="IN236" i="1"/>
  <c r="IM236" i="1"/>
  <c r="IL236" i="1"/>
  <c r="IK236" i="1"/>
  <c r="IJ236" i="1"/>
  <c r="AF236" i="1"/>
  <c r="AE236" i="1"/>
  <c r="AD236" i="1"/>
  <c r="AC236" i="1"/>
  <c r="U236" i="1"/>
  <c r="T236" i="1"/>
  <c r="S236" i="1"/>
  <c r="R236" i="1"/>
  <c r="C236" i="1"/>
  <c r="JH235" i="1"/>
  <c r="JG235" i="1"/>
  <c r="JF235" i="1"/>
  <c r="JD235" i="1"/>
  <c r="JC235" i="1"/>
  <c r="JA235" i="1"/>
  <c r="IY235" i="1"/>
  <c r="IX235" i="1"/>
  <c r="IW235" i="1"/>
  <c r="IV235" i="1"/>
  <c r="IU235" i="1"/>
  <c r="IR235" i="1"/>
  <c r="IQ235" i="1"/>
  <c r="IP235" i="1"/>
  <c r="IO235" i="1"/>
  <c r="IM235" i="1"/>
  <c r="IL235" i="1"/>
  <c r="IK235" i="1"/>
  <c r="IJ235" i="1"/>
  <c r="AF235" i="1"/>
  <c r="AE235" i="1"/>
  <c r="AD235" i="1"/>
  <c r="AC235" i="1"/>
  <c r="U235" i="1"/>
  <c r="T235" i="1"/>
  <c r="S235" i="1"/>
  <c r="R235" i="1"/>
  <c r="C235" i="1"/>
  <c r="AF234" i="1"/>
  <c r="AE234" i="1"/>
  <c r="AD234" i="1"/>
  <c r="AC234" i="1"/>
  <c r="U234" i="1"/>
  <c r="T234" i="1"/>
  <c r="S234" i="1"/>
  <c r="R234" i="1"/>
  <c r="C234" i="1"/>
  <c r="JH233" i="1"/>
  <c r="JG233" i="1"/>
  <c r="JF233" i="1"/>
  <c r="JD233" i="1"/>
  <c r="JC233" i="1"/>
  <c r="JA233" i="1"/>
  <c r="IY233" i="1"/>
  <c r="IX233" i="1"/>
  <c r="IW233" i="1"/>
  <c r="IV233" i="1"/>
  <c r="IR233" i="1"/>
  <c r="IQ233" i="1"/>
  <c r="IP233" i="1"/>
  <c r="IO233" i="1"/>
  <c r="IN233" i="1"/>
  <c r="IM233" i="1"/>
  <c r="IL233" i="1"/>
  <c r="IK233" i="1"/>
  <c r="IJ233" i="1"/>
  <c r="AF233" i="1"/>
  <c r="AE233" i="1"/>
  <c r="AD233" i="1"/>
  <c r="AC233" i="1"/>
  <c r="U233" i="1"/>
  <c r="T233" i="1"/>
  <c r="S233" i="1"/>
  <c r="R233" i="1"/>
  <c r="C233" i="1"/>
  <c r="AH232" i="1"/>
  <c r="AF232" i="1"/>
  <c r="AE232" i="1"/>
  <c r="AD232" i="1"/>
  <c r="AC232" i="1"/>
  <c r="U232" i="1"/>
  <c r="T232" i="1"/>
  <c r="S232" i="1"/>
  <c r="R232" i="1"/>
  <c r="C232" i="1"/>
  <c r="AF231" i="1"/>
  <c r="AE231" i="1"/>
  <c r="AD231" i="1"/>
  <c r="AC231" i="1"/>
  <c r="U231" i="1"/>
  <c r="T231" i="1"/>
  <c r="S231" i="1"/>
  <c r="R231" i="1"/>
  <c r="C231" i="1"/>
  <c r="AF230" i="1"/>
  <c r="AE230" i="1"/>
  <c r="AD230" i="1"/>
  <c r="AC230" i="1"/>
  <c r="U230" i="1"/>
  <c r="T230" i="1"/>
  <c r="S230" i="1"/>
  <c r="R230" i="1"/>
  <c r="C230" i="1"/>
  <c r="AF229" i="1"/>
  <c r="AE229" i="1"/>
  <c r="AD229" i="1"/>
  <c r="AC229" i="1"/>
  <c r="U229" i="1"/>
  <c r="T229" i="1"/>
  <c r="S229" i="1"/>
  <c r="R229" i="1"/>
  <c r="C229" i="1"/>
  <c r="DQ228" i="1"/>
  <c r="DO228" i="1"/>
  <c r="AF228" i="1"/>
  <c r="AE228" i="1"/>
  <c r="AD228" i="1"/>
  <c r="AC228" i="1"/>
  <c r="U228" i="1"/>
  <c r="T228" i="1"/>
  <c r="S228" i="1"/>
  <c r="R228" i="1"/>
  <c r="C228" i="1"/>
  <c r="DQ227" i="1"/>
  <c r="DO227" i="1"/>
  <c r="AF227" i="1"/>
  <c r="AE227" i="1"/>
  <c r="AD227" i="1"/>
  <c r="AC227" i="1"/>
  <c r="U227" i="1"/>
  <c r="T227" i="1"/>
  <c r="S227" i="1"/>
  <c r="R227" i="1"/>
  <c r="C227" i="1"/>
  <c r="AF226" i="1"/>
  <c r="AE226" i="1"/>
  <c r="AD226" i="1"/>
  <c r="AC226" i="1"/>
  <c r="U226" i="1"/>
  <c r="T226" i="1"/>
  <c r="S226" i="1"/>
  <c r="R226" i="1"/>
  <c r="C226" i="1"/>
  <c r="AF225" i="1"/>
  <c r="AE225" i="1"/>
  <c r="AD225" i="1"/>
  <c r="AC225" i="1"/>
  <c r="U225" i="1"/>
  <c r="T225" i="1"/>
  <c r="S225" i="1"/>
  <c r="R225" i="1"/>
  <c r="C225" i="1"/>
  <c r="AF224" i="1"/>
  <c r="AE224" i="1"/>
  <c r="AD224" i="1"/>
  <c r="AC224" i="1"/>
  <c r="U224" i="1"/>
  <c r="T224" i="1"/>
  <c r="S224" i="1"/>
  <c r="R224" i="1"/>
  <c r="C224" i="1"/>
  <c r="AF223" i="1"/>
  <c r="AE223" i="1"/>
  <c r="AD223" i="1"/>
  <c r="AC223" i="1"/>
  <c r="U223" i="1"/>
  <c r="T223" i="1"/>
  <c r="S223" i="1"/>
  <c r="R223" i="1"/>
  <c r="C223" i="1"/>
  <c r="AF222" i="1"/>
  <c r="AE222" i="1"/>
  <c r="AD222" i="1"/>
  <c r="AC222" i="1"/>
  <c r="U222" i="1"/>
  <c r="T222" i="1"/>
  <c r="S222" i="1"/>
  <c r="R222" i="1"/>
  <c r="C222" i="1"/>
  <c r="AF221" i="1"/>
  <c r="AE221" i="1"/>
  <c r="AD221" i="1"/>
  <c r="AC221" i="1"/>
  <c r="U221" i="1"/>
  <c r="T221" i="1"/>
  <c r="S221" i="1"/>
  <c r="R221" i="1"/>
  <c r="C221" i="1"/>
  <c r="AF220" i="1"/>
  <c r="AE220" i="1"/>
  <c r="AD220" i="1"/>
  <c r="AC220" i="1"/>
  <c r="U220" i="1"/>
  <c r="T220" i="1"/>
  <c r="S220" i="1"/>
  <c r="R220" i="1"/>
  <c r="C220" i="1"/>
  <c r="AF219" i="1"/>
  <c r="AE219" i="1"/>
  <c r="AD219" i="1"/>
  <c r="AC219" i="1"/>
  <c r="U219" i="1"/>
  <c r="T219" i="1"/>
  <c r="S219" i="1"/>
  <c r="R219" i="1"/>
  <c r="C219" i="1"/>
  <c r="AF218" i="1"/>
  <c r="AE218" i="1"/>
  <c r="AD218" i="1"/>
  <c r="AC218" i="1"/>
  <c r="U218" i="1"/>
  <c r="T218" i="1"/>
  <c r="S218" i="1"/>
  <c r="R218" i="1"/>
  <c r="C218" i="1"/>
  <c r="AF217" i="1"/>
  <c r="AE217" i="1"/>
  <c r="AD217" i="1"/>
  <c r="AC217" i="1"/>
  <c r="U217" i="1"/>
  <c r="T217" i="1"/>
  <c r="S217" i="1"/>
  <c r="R217" i="1"/>
  <c r="C217" i="1"/>
  <c r="DQ216" i="1"/>
  <c r="DO216" i="1"/>
  <c r="AF216" i="1"/>
  <c r="AE216" i="1"/>
  <c r="AD216" i="1"/>
  <c r="AC216" i="1"/>
  <c r="U216" i="1"/>
  <c r="T216" i="1"/>
  <c r="S216" i="1"/>
  <c r="R216" i="1"/>
  <c r="C216" i="1"/>
  <c r="AF215" i="1"/>
  <c r="AE215" i="1"/>
  <c r="AD215" i="1"/>
  <c r="AC215" i="1"/>
  <c r="U215" i="1"/>
  <c r="T215" i="1"/>
  <c r="S215" i="1"/>
  <c r="R215" i="1"/>
  <c r="C215" i="1"/>
  <c r="DQ214" i="1"/>
  <c r="DO214" i="1"/>
  <c r="AF214" i="1"/>
  <c r="AE214" i="1"/>
  <c r="AD214" i="1"/>
  <c r="AC214" i="1"/>
  <c r="U214" i="1"/>
  <c r="T214" i="1"/>
  <c r="S214" i="1"/>
  <c r="R214" i="1"/>
  <c r="C214" i="1"/>
  <c r="AF213" i="1"/>
  <c r="AE213" i="1"/>
  <c r="AD213" i="1"/>
  <c r="AC213" i="1"/>
  <c r="U213" i="1"/>
  <c r="T213" i="1"/>
  <c r="S213" i="1"/>
  <c r="R213" i="1"/>
  <c r="C213" i="1"/>
  <c r="AF212" i="1"/>
  <c r="AE212" i="1"/>
  <c r="AD212" i="1"/>
  <c r="AC212" i="1"/>
  <c r="U212" i="1"/>
  <c r="T212" i="1"/>
  <c r="S212" i="1"/>
  <c r="R212" i="1"/>
  <c r="C212" i="1"/>
  <c r="AH211" i="1"/>
  <c r="AF211" i="1"/>
  <c r="AE211" i="1"/>
  <c r="AD211" i="1"/>
  <c r="AC211" i="1"/>
  <c r="U211" i="1"/>
  <c r="T211" i="1"/>
  <c r="S211" i="1"/>
  <c r="R211" i="1"/>
  <c r="C211" i="1"/>
  <c r="AH210" i="1"/>
  <c r="AF210" i="1"/>
  <c r="AE210" i="1"/>
  <c r="AD210" i="1"/>
  <c r="AC210" i="1"/>
  <c r="U210" i="1"/>
  <c r="T210" i="1"/>
  <c r="S210" i="1"/>
  <c r="R210" i="1"/>
  <c r="C210" i="1"/>
  <c r="AH209" i="1"/>
  <c r="AF209" i="1"/>
  <c r="AE209" i="1"/>
  <c r="AD209" i="1"/>
  <c r="AC209" i="1"/>
  <c r="U209" i="1"/>
  <c r="T209" i="1"/>
  <c r="S209" i="1"/>
  <c r="R209" i="1"/>
  <c r="C209" i="1"/>
  <c r="AH208" i="1"/>
  <c r="AF208" i="1"/>
  <c r="AE208" i="1"/>
  <c r="AD208" i="1"/>
  <c r="AC208" i="1"/>
  <c r="U208" i="1"/>
  <c r="T208" i="1"/>
  <c r="S208" i="1"/>
  <c r="R208" i="1"/>
  <c r="C208" i="1"/>
  <c r="AH207" i="1"/>
  <c r="AF207" i="1"/>
  <c r="AE207" i="1"/>
  <c r="AD207" i="1"/>
  <c r="AC207" i="1"/>
  <c r="U207" i="1"/>
  <c r="T207" i="1"/>
  <c r="S207" i="1"/>
  <c r="R207" i="1"/>
  <c r="C207" i="1"/>
  <c r="AH206" i="1"/>
  <c r="AF206" i="1"/>
  <c r="AE206" i="1"/>
  <c r="AD206" i="1"/>
  <c r="AC206" i="1"/>
  <c r="U206" i="1"/>
  <c r="T206" i="1"/>
  <c r="S206" i="1"/>
  <c r="R206" i="1"/>
  <c r="C206" i="1"/>
  <c r="AH205" i="1"/>
  <c r="AF205" i="1"/>
  <c r="AE205" i="1"/>
  <c r="AD205" i="1"/>
  <c r="AC205" i="1"/>
  <c r="U205" i="1"/>
  <c r="T205" i="1"/>
  <c r="S205" i="1"/>
  <c r="R205" i="1"/>
  <c r="C205" i="1"/>
  <c r="AH204" i="1"/>
  <c r="AF204" i="1"/>
  <c r="AE204" i="1"/>
  <c r="AD204" i="1"/>
  <c r="AC204" i="1"/>
  <c r="U204" i="1"/>
  <c r="T204" i="1"/>
  <c r="S204" i="1"/>
  <c r="R204" i="1"/>
  <c r="C204" i="1"/>
  <c r="AH203" i="1"/>
  <c r="AF203" i="1"/>
  <c r="AE203" i="1"/>
  <c r="AD203" i="1"/>
  <c r="AC203" i="1"/>
  <c r="U203" i="1"/>
  <c r="T203" i="1"/>
  <c r="S203" i="1"/>
  <c r="R203" i="1"/>
  <c r="C203" i="1"/>
  <c r="BE202" i="1"/>
  <c r="AH202" i="1"/>
  <c r="AF202" i="1"/>
  <c r="AE202" i="1"/>
  <c r="AD202" i="1"/>
  <c r="AC202" i="1"/>
  <c r="U202" i="1"/>
  <c r="T202" i="1"/>
  <c r="S202" i="1"/>
  <c r="R202" i="1"/>
  <c r="C202" i="1"/>
  <c r="AH201" i="1"/>
  <c r="AF201" i="1"/>
  <c r="AE201" i="1"/>
  <c r="AD201" i="1"/>
  <c r="AC201" i="1"/>
  <c r="U201" i="1"/>
  <c r="T201" i="1"/>
  <c r="S201" i="1"/>
  <c r="R201" i="1"/>
  <c r="C201" i="1"/>
  <c r="BE200" i="1"/>
  <c r="AH200" i="1"/>
  <c r="AF200" i="1"/>
  <c r="AE200" i="1"/>
  <c r="AD200" i="1"/>
  <c r="AC200" i="1"/>
  <c r="U200" i="1"/>
  <c r="T200" i="1"/>
  <c r="S200" i="1"/>
  <c r="R200" i="1"/>
  <c r="C200" i="1"/>
  <c r="BE199" i="1"/>
  <c r="AH199" i="1"/>
  <c r="AF199" i="1"/>
  <c r="AE199" i="1"/>
  <c r="AD199" i="1"/>
  <c r="AC199" i="1"/>
  <c r="U199" i="1"/>
  <c r="T199" i="1"/>
  <c r="S199" i="1"/>
  <c r="R199" i="1"/>
  <c r="C199" i="1"/>
  <c r="AH198" i="1"/>
  <c r="AF198" i="1"/>
  <c r="AE198" i="1"/>
  <c r="AD198" i="1"/>
  <c r="AC198" i="1"/>
  <c r="U198" i="1"/>
  <c r="T198" i="1"/>
  <c r="S198" i="1"/>
  <c r="R198" i="1"/>
  <c r="C198" i="1"/>
  <c r="BE197" i="1"/>
  <c r="AH197" i="1"/>
  <c r="AF197" i="1"/>
  <c r="AE197" i="1"/>
  <c r="AD197" i="1"/>
  <c r="AC197" i="1"/>
  <c r="U197" i="1"/>
  <c r="T197" i="1"/>
  <c r="S197" i="1"/>
  <c r="R197" i="1"/>
  <c r="C197" i="1"/>
  <c r="BE196" i="1"/>
  <c r="AH196" i="1"/>
  <c r="AF196" i="1"/>
  <c r="AE196" i="1"/>
  <c r="AD196" i="1"/>
  <c r="AC196" i="1"/>
  <c r="U196" i="1"/>
  <c r="T196" i="1"/>
  <c r="S196" i="1"/>
  <c r="R196" i="1"/>
  <c r="C196" i="1"/>
  <c r="AH195" i="1"/>
  <c r="AF195" i="1"/>
  <c r="AE195" i="1"/>
  <c r="AD195" i="1"/>
  <c r="AC195" i="1"/>
  <c r="U195" i="1"/>
  <c r="T195" i="1"/>
  <c r="S195" i="1"/>
  <c r="R195" i="1"/>
  <c r="C195" i="1"/>
  <c r="AH194" i="1"/>
  <c r="AF194" i="1"/>
  <c r="AE194" i="1"/>
  <c r="AD194" i="1"/>
  <c r="AC194" i="1"/>
  <c r="U194" i="1"/>
  <c r="T194" i="1"/>
  <c r="S194" i="1"/>
  <c r="R194" i="1"/>
  <c r="C194" i="1"/>
  <c r="AH193" i="1"/>
  <c r="AF193" i="1"/>
  <c r="AE193" i="1"/>
  <c r="AD193" i="1"/>
  <c r="AC193" i="1"/>
  <c r="U193" i="1"/>
  <c r="T193" i="1"/>
  <c r="S193" i="1"/>
  <c r="R193" i="1"/>
  <c r="C193" i="1"/>
  <c r="AH192" i="1"/>
  <c r="AF192" i="1"/>
  <c r="AE192" i="1"/>
  <c r="AD192" i="1"/>
  <c r="AC192" i="1"/>
  <c r="U192" i="1"/>
  <c r="T192" i="1"/>
  <c r="S192" i="1"/>
  <c r="R192" i="1"/>
  <c r="C192" i="1"/>
  <c r="AF191" i="1"/>
  <c r="AE191" i="1"/>
  <c r="AD191" i="1"/>
  <c r="AC191" i="1"/>
  <c r="U191" i="1"/>
  <c r="T191" i="1"/>
  <c r="S191" i="1"/>
  <c r="R191" i="1"/>
  <c r="C191" i="1"/>
  <c r="AH190" i="1"/>
  <c r="AF190" i="1"/>
  <c r="AE190" i="1"/>
  <c r="AD190" i="1"/>
  <c r="AC190" i="1"/>
  <c r="U190" i="1"/>
  <c r="T190" i="1"/>
  <c r="S190" i="1"/>
  <c r="R190" i="1"/>
  <c r="C190" i="1"/>
  <c r="AF189" i="1"/>
  <c r="AE189" i="1"/>
  <c r="AD189" i="1"/>
  <c r="AC189" i="1"/>
  <c r="U189" i="1"/>
  <c r="T189" i="1"/>
  <c r="S189" i="1"/>
  <c r="R189" i="1"/>
  <c r="C189" i="1"/>
  <c r="AF188" i="1"/>
  <c r="AE188" i="1"/>
  <c r="AD188" i="1"/>
  <c r="AC188" i="1"/>
  <c r="U188" i="1"/>
  <c r="T188" i="1"/>
  <c r="S188" i="1"/>
  <c r="R188" i="1"/>
  <c r="C188" i="1"/>
  <c r="AF187" i="1"/>
  <c r="AE187" i="1"/>
  <c r="AD187" i="1"/>
  <c r="AC187" i="1"/>
  <c r="U187" i="1"/>
  <c r="T187" i="1"/>
  <c r="S187" i="1"/>
  <c r="R187" i="1"/>
  <c r="C187" i="1"/>
  <c r="AH186" i="1"/>
  <c r="AF186" i="1"/>
  <c r="AE186" i="1"/>
  <c r="AD186" i="1"/>
  <c r="AC186" i="1"/>
  <c r="U186" i="1"/>
  <c r="T186" i="1"/>
  <c r="S186" i="1"/>
  <c r="R186" i="1"/>
  <c r="C186" i="1"/>
  <c r="AF185" i="1"/>
  <c r="AE185" i="1"/>
  <c r="AD185" i="1"/>
  <c r="AC185" i="1"/>
  <c r="U185" i="1"/>
  <c r="T185" i="1"/>
  <c r="S185" i="1"/>
  <c r="R185" i="1"/>
  <c r="C185" i="1"/>
  <c r="AH184" i="1"/>
  <c r="AF184" i="1"/>
  <c r="AE184" i="1"/>
  <c r="AD184" i="1"/>
  <c r="AC184" i="1"/>
  <c r="U184" i="1"/>
  <c r="T184" i="1"/>
  <c r="S184" i="1"/>
  <c r="R184" i="1"/>
  <c r="C184" i="1"/>
  <c r="AF183" i="1"/>
  <c r="AE183" i="1"/>
  <c r="AD183" i="1"/>
  <c r="AC183" i="1"/>
  <c r="U183" i="1"/>
  <c r="T183" i="1"/>
  <c r="S183" i="1"/>
  <c r="R183" i="1"/>
  <c r="C183" i="1"/>
  <c r="AF182" i="1"/>
  <c r="AE182" i="1"/>
  <c r="AD182" i="1"/>
  <c r="AC182" i="1"/>
  <c r="U182" i="1"/>
  <c r="T182" i="1"/>
  <c r="S182" i="1"/>
  <c r="R182" i="1"/>
  <c r="C182" i="1"/>
  <c r="AF181" i="1"/>
  <c r="AE181" i="1"/>
  <c r="AD181" i="1"/>
  <c r="AC181" i="1"/>
  <c r="U181" i="1"/>
  <c r="T181" i="1"/>
  <c r="S181" i="1"/>
  <c r="R181" i="1"/>
  <c r="C181" i="1"/>
  <c r="AF180" i="1"/>
  <c r="AE180" i="1"/>
  <c r="AD180" i="1"/>
  <c r="AC180" i="1"/>
  <c r="U180" i="1"/>
  <c r="T180" i="1"/>
  <c r="S180" i="1"/>
  <c r="R180" i="1"/>
  <c r="C180" i="1"/>
  <c r="DQ179" i="1"/>
  <c r="DO179" i="1"/>
  <c r="AF179" i="1"/>
  <c r="AE179" i="1"/>
  <c r="AD179" i="1"/>
  <c r="AC179" i="1"/>
  <c r="U179" i="1"/>
  <c r="T179" i="1"/>
  <c r="S179" i="1"/>
  <c r="R179" i="1"/>
  <c r="C179" i="1"/>
  <c r="AF178" i="1"/>
  <c r="AE178" i="1"/>
  <c r="AD178" i="1"/>
  <c r="AC178" i="1"/>
  <c r="U178" i="1"/>
  <c r="T178" i="1"/>
  <c r="S178" i="1"/>
  <c r="R178" i="1"/>
  <c r="C178" i="1"/>
  <c r="AF177" i="1"/>
  <c r="AE177" i="1"/>
  <c r="AD177" i="1"/>
  <c r="AC177" i="1"/>
  <c r="U177" i="1"/>
  <c r="T177" i="1"/>
  <c r="S177" i="1"/>
  <c r="R177" i="1"/>
  <c r="C177" i="1"/>
  <c r="AF176" i="1"/>
  <c r="AE176" i="1"/>
  <c r="AD176" i="1"/>
  <c r="AC176" i="1"/>
  <c r="U176" i="1"/>
  <c r="T176" i="1"/>
  <c r="S176" i="1"/>
  <c r="R176" i="1"/>
  <c r="C176" i="1"/>
  <c r="AF175" i="1"/>
  <c r="AE175" i="1"/>
  <c r="AD175" i="1"/>
  <c r="AC175" i="1"/>
  <c r="U175" i="1"/>
  <c r="T175" i="1"/>
  <c r="S175" i="1"/>
  <c r="R175" i="1"/>
  <c r="C175" i="1"/>
  <c r="AF174" i="1"/>
  <c r="AE174" i="1"/>
  <c r="AD174" i="1"/>
  <c r="AC174" i="1"/>
  <c r="U174" i="1"/>
  <c r="T174" i="1"/>
  <c r="S174" i="1"/>
  <c r="R174" i="1"/>
  <c r="C174" i="1"/>
  <c r="AF173" i="1"/>
  <c r="AE173" i="1"/>
  <c r="AD173" i="1"/>
  <c r="AC173" i="1"/>
  <c r="U173" i="1"/>
  <c r="T173" i="1"/>
  <c r="S173" i="1"/>
  <c r="R173" i="1"/>
  <c r="C173" i="1"/>
  <c r="AF172" i="1"/>
  <c r="AE172" i="1"/>
  <c r="AD172" i="1"/>
  <c r="AC172" i="1"/>
  <c r="U172" i="1"/>
  <c r="T172" i="1"/>
  <c r="S172" i="1"/>
  <c r="R172" i="1"/>
  <c r="C172" i="1"/>
  <c r="DQ171" i="1"/>
  <c r="DO171" i="1"/>
  <c r="AF171" i="1"/>
  <c r="AE171" i="1"/>
  <c r="AD171" i="1"/>
  <c r="AC171" i="1"/>
  <c r="U171" i="1"/>
  <c r="T171" i="1"/>
  <c r="S171" i="1"/>
  <c r="R171" i="1"/>
  <c r="C171" i="1"/>
  <c r="DQ170" i="1"/>
  <c r="DO170" i="1"/>
  <c r="AF170" i="1"/>
  <c r="AE170" i="1"/>
  <c r="AD170" i="1"/>
  <c r="AC170" i="1"/>
  <c r="U170" i="1"/>
  <c r="T170" i="1"/>
  <c r="S170" i="1"/>
  <c r="R170" i="1"/>
  <c r="C170" i="1"/>
  <c r="AF169" i="1"/>
  <c r="AE169" i="1"/>
  <c r="AD169" i="1"/>
  <c r="AC169" i="1"/>
  <c r="U169" i="1"/>
  <c r="T169" i="1"/>
  <c r="S169" i="1"/>
  <c r="R169" i="1"/>
  <c r="C169" i="1"/>
  <c r="DJ168" i="1"/>
  <c r="AF168" i="1"/>
  <c r="AE168" i="1"/>
  <c r="AD168" i="1"/>
  <c r="AC168" i="1"/>
  <c r="U168" i="1"/>
  <c r="T168" i="1"/>
  <c r="S168" i="1"/>
  <c r="R168" i="1"/>
  <c r="C168" i="1"/>
  <c r="AF167" i="1"/>
  <c r="AE167" i="1"/>
  <c r="AD167" i="1"/>
  <c r="AC167" i="1"/>
  <c r="U167" i="1"/>
  <c r="T167" i="1"/>
  <c r="S167" i="1"/>
  <c r="R167" i="1"/>
  <c r="C167" i="1"/>
  <c r="AF166" i="1"/>
  <c r="AE166" i="1"/>
  <c r="AD166" i="1"/>
  <c r="AC166" i="1"/>
  <c r="U166" i="1"/>
  <c r="T166" i="1"/>
  <c r="S166" i="1"/>
  <c r="R166" i="1"/>
  <c r="C166" i="1"/>
  <c r="AF165" i="1"/>
  <c r="AE165" i="1"/>
  <c r="AD165" i="1"/>
  <c r="AC165" i="1"/>
  <c r="U165" i="1"/>
  <c r="T165" i="1"/>
  <c r="S165" i="1"/>
  <c r="R165" i="1"/>
  <c r="C165" i="1"/>
  <c r="AF164" i="1"/>
  <c r="AE164" i="1"/>
  <c r="AD164" i="1"/>
  <c r="AC164" i="1"/>
  <c r="U164" i="1"/>
  <c r="T164" i="1"/>
  <c r="S164" i="1"/>
  <c r="R164" i="1"/>
  <c r="C164" i="1"/>
  <c r="AF163" i="1"/>
  <c r="AE163" i="1"/>
  <c r="AD163" i="1"/>
  <c r="AC163" i="1"/>
  <c r="U163" i="1"/>
  <c r="T163" i="1"/>
  <c r="S163" i="1"/>
  <c r="R163" i="1"/>
  <c r="C163" i="1"/>
  <c r="AF162" i="1"/>
  <c r="AE162" i="1"/>
  <c r="AD162" i="1"/>
  <c r="AC162" i="1"/>
  <c r="U162" i="1"/>
  <c r="T162" i="1"/>
  <c r="S162" i="1"/>
  <c r="R162" i="1"/>
  <c r="C162" i="1"/>
  <c r="AF161" i="1"/>
  <c r="AE161" i="1"/>
  <c r="AD161" i="1"/>
  <c r="AC161" i="1"/>
  <c r="U161" i="1"/>
  <c r="T161" i="1"/>
  <c r="S161" i="1"/>
  <c r="R161" i="1"/>
  <c r="C161" i="1"/>
  <c r="AF160" i="1"/>
  <c r="AE160" i="1"/>
  <c r="AD160" i="1"/>
  <c r="AC160" i="1"/>
  <c r="U160" i="1"/>
  <c r="T160" i="1"/>
  <c r="S160" i="1"/>
  <c r="R160" i="1"/>
  <c r="C160" i="1"/>
  <c r="AF159" i="1"/>
  <c r="AE159" i="1"/>
  <c r="AD159" i="1"/>
  <c r="AC159" i="1"/>
  <c r="U159" i="1"/>
  <c r="T159" i="1"/>
  <c r="S159" i="1"/>
  <c r="R159" i="1"/>
  <c r="C159" i="1"/>
  <c r="AF158" i="1"/>
  <c r="AE158" i="1"/>
  <c r="AD158" i="1"/>
  <c r="AC158" i="1"/>
  <c r="U158" i="1"/>
  <c r="T158" i="1"/>
  <c r="S158" i="1"/>
  <c r="R158" i="1"/>
  <c r="C158" i="1"/>
  <c r="AF157" i="1"/>
  <c r="AE157" i="1"/>
  <c r="AD157" i="1"/>
  <c r="AC157" i="1"/>
  <c r="U157" i="1"/>
  <c r="T157" i="1"/>
  <c r="S157" i="1"/>
  <c r="R157" i="1"/>
  <c r="C157" i="1"/>
  <c r="AF156" i="1"/>
  <c r="AE156" i="1"/>
  <c r="AD156" i="1"/>
  <c r="AC156" i="1"/>
  <c r="U156" i="1"/>
  <c r="T156" i="1"/>
  <c r="S156" i="1"/>
  <c r="R156" i="1"/>
  <c r="C156" i="1"/>
  <c r="AF155" i="1"/>
  <c r="AE155" i="1"/>
  <c r="AD155" i="1"/>
  <c r="AC155" i="1"/>
  <c r="U155" i="1"/>
  <c r="T155" i="1"/>
  <c r="S155" i="1"/>
  <c r="R155" i="1"/>
  <c r="C155" i="1"/>
  <c r="AF154" i="1"/>
  <c r="AE154" i="1"/>
  <c r="AD154" i="1"/>
  <c r="AC154" i="1"/>
  <c r="U154" i="1"/>
  <c r="T154" i="1"/>
  <c r="S154" i="1"/>
  <c r="R154" i="1"/>
  <c r="C154" i="1"/>
  <c r="AF153" i="1"/>
  <c r="AE153" i="1"/>
  <c r="AD153" i="1"/>
  <c r="AC153" i="1"/>
  <c r="U153" i="1"/>
  <c r="T153" i="1"/>
  <c r="S153" i="1"/>
  <c r="R153" i="1"/>
  <c r="C153" i="1"/>
  <c r="AF152" i="1"/>
  <c r="AE152" i="1"/>
  <c r="AD152" i="1"/>
  <c r="AC152" i="1"/>
  <c r="U152" i="1"/>
  <c r="T152" i="1"/>
  <c r="S152" i="1"/>
  <c r="R152" i="1"/>
  <c r="C152" i="1"/>
  <c r="AF151" i="1"/>
  <c r="AE151" i="1"/>
  <c r="AD151" i="1"/>
  <c r="AC151" i="1"/>
  <c r="U151" i="1"/>
  <c r="T151" i="1"/>
  <c r="S151" i="1"/>
  <c r="R151" i="1"/>
  <c r="C151" i="1"/>
  <c r="AF150" i="1"/>
  <c r="AE150" i="1"/>
  <c r="AD150" i="1"/>
  <c r="AC150" i="1"/>
  <c r="U150" i="1"/>
  <c r="T150" i="1"/>
  <c r="S150" i="1"/>
  <c r="R150" i="1"/>
  <c r="C150" i="1"/>
  <c r="AF149" i="1"/>
  <c r="AE149" i="1"/>
  <c r="AD149" i="1"/>
  <c r="AC149" i="1"/>
  <c r="U149" i="1"/>
  <c r="T149" i="1"/>
  <c r="S149" i="1"/>
  <c r="R149" i="1"/>
  <c r="C149" i="1"/>
  <c r="AF148" i="1"/>
  <c r="AE148" i="1"/>
  <c r="AD148" i="1"/>
  <c r="AC148" i="1"/>
  <c r="U148" i="1"/>
  <c r="T148" i="1"/>
  <c r="S148" i="1"/>
  <c r="R148" i="1"/>
  <c r="C148" i="1"/>
  <c r="AF147" i="1"/>
  <c r="AE147" i="1"/>
  <c r="AD147" i="1"/>
  <c r="AC147" i="1"/>
  <c r="U147" i="1"/>
  <c r="T147" i="1"/>
  <c r="S147" i="1"/>
  <c r="R147" i="1"/>
  <c r="C147" i="1"/>
  <c r="AF146" i="1"/>
  <c r="AE146" i="1"/>
  <c r="AD146" i="1"/>
  <c r="AC146" i="1"/>
  <c r="U146" i="1"/>
  <c r="T146" i="1"/>
  <c r="S146" i="1"/>
  <c r="R146" i="1"/>
  <c r="C146" i="1"/>
  <c r="AF145" i="1"/>
  <c r="AE145" i="1"/>
  <c r="AD145" i="1"/>
  <c r="AC145" i="1"/>
  <c r="U145" i="1"/>
  <c r="T145" i="1"/>
  <c r="S145" i="1"/>
  <c r="R145" i="1"/>
  <c r="C145" i="1"/>
  <c r="AF144" i="1"/>
  <c r="AE144" i="1"/>
  <c r="AD144" i="1"/>
  <c r="AC144" i="1"/>
  <c r="U144" i="1"/>
  <c r="T144" i="1"/>
  <c r="S144" i="1"/>
  <c r="R144" i="1"/>
  <c r="C144" i="1"/>
  <c r="AF143" i="1"/>
  <c r="AE143" i="1"/>
  <c r="AD143" i="1"/>
  <c r="AC143" i="1"/>
  <c r="U143" i="1"/>
  <c r="T143" i="1"/>
  <c r="S143" i="1"/>
  <c r="R143" i="1"/>
  <c r="C143" i="1"/>
  <c r="AF142" i="1"/>
  <c r="AE142" i="1"/>
  <c r="AD142" i="1"/>
  <c r="AC142" i="1"/>
  <c r="U142" i="1"/>
  <c r="T142" i="1"/>
  <c r="S142" i="1"/>
  <c r="R142" i="1"/>
  <c r="C142" i="1"/>
  <c r="AF141" i="1"/>
  <c r="AE141" i="1"/>
  <c r="AD141" i="1"/>
  <c r="AC141" i="1"/>
  <c r="U141" i="1"/>
  <c r="T141" i="1"/>
  <c r="S141" i="1"/>
  <c r="R141" i="1"/>
  <c r="C141" i="1"/>
  <c r="AF140" i="1"/>
  <c r="AE140" i="1"/>
  <c r="AD140" i="1"/>
  <c r="AC140" i="1"/>
  <c r="U140" i="1"/>
  <c r="T140" i="1"/>
  <c r="S140" i="1"/>
  <c r="R140" i="1"/>
  <c r="C140" i="1"/>
  <c r="AF139" i="1"/>
  <c r="AE139" i="1"/>
  <c r="AD139" i="1"/>
  <c r="AC139" i="1"/>
  <c r="U139" i="1"/>
  <c r="T139" i="1"/>
  <c r="S139" i="1"/>
  <c r="R139" i="1"/>
  <c r="C139" i="1"/>
  <c r="AF138" i="1"/>
  <c r="AE138" i="1"/>
  <c r="AD138" i="1"/>
  <c r="AC138" i="1"/>
  <c r="U138" i="1"/>
  <c r="T138" i="1"/>
  <c r="S138" i="1"/>
  <c r="R138" i="1"/>
  <c r="C138" i="1"/>
  <c r="AF137" i="1"/>
  <c r="AE137" i="1"/>
  <c r="AD137" i="1"/>
  <c r="AC137" i="1"/>
  <c r="U137" i="1"/>
  <c r="T137" i="1"/>
  <c r="S137" i="1"/>
  <c r="R137" i="1"/>
  <c r="C137" i="1"/>
  <c r="AF136" i="1"/>
  <c r="AE136" i="1"/>
  <c r="AD136" i="1"/>
  <c r="AC136" i="1"/>
  <c r="U136" i="1"/>
  <c r="T136" i="1"/>
  <c r="S136" i="1"/>
  <c r="R136" i="1"/>
  <c r="C136" i="1"/>
  <c r="AF135" i="1"/>
  <c r="AE135" i="1"/>
  <c r="AD135" i="1"/>
  <c r="AC135" i="1"/>
  <c r="U135" i="1"/>
  <c r="T135" i="1"/>
  <c r="S135" i="1"/>
  <c r="R135" i="1"/>
  <c r="C135" i="1"/>
  <c r="AF134" i="1"/>
  <c r="AE134" i="1"/>
  <c r="AD134" i="1"/>
  <c r="AC134" i="1"/>
  <c r="U134" i="1"/>
  <c r="T134" i="1"/>
  <c r="S134" i="1"/>
  <c r="R134" i="1"/>
  <c r="C134" i="1"/>
  <c r="AF133" i="1"/>
  <c r="AE133" i="1"/>
  <c r="AD133" i="1"/>
  <c r="AC133" i="1"/>
  <c r="U133" i="1"/>
  <c r="T133" i="1"/>
  <c r="S133" i="1"/>
  <c r="R133" i="1"/>
  <c r="C133" i="1"/>
  <c r="AF132" i="1"/>
  <c r="AE132" i="1"/>
  <c r="AD132" i="1"/>
  <c r="AC132" i="1"/>
  <c r="U132" i="1"/>
  <c r="T132" i="1"/>
  <c r="S132" i="1"/>
  <c r="R132" i="1"/>
  <c r="C132" i="1"/>
  <c r="DQ131" i="1"/>
  <c r="DO131" i="1"/>
  <c r="AF131" i="1"/>
  <c r="AE131" i="1"/>
  <c r="AD131" i="1"/>
  <c r="AC131" i="1"/>
  <c r="U131" i="1"/>
  <c r="T131" i="1"/>
  <c r="S131" i="1"/>
  <c r="R131" i="1"/>
  <c r="C131" i="1"/>
  <c r="AF130" i="1"/>
  <c r="AE130" i="1"/>
  <c r="AD130" i="1"/>
  <c r="AC130" i="1"/>
  <c r="U130" i="1"/>
  <c r="T130" i="1"/>
  <c r="S130" i="1"/>
  <c r="R130" i="1"/>
  <c r="C130" i="1"/>
  <c r="AF129" i="1"/>
  <c r="AE129" i="1"/>
  <c r="AD129" i="1"/>
  <c r="AC129" i="1"/>
  <c r="U129" i="1"/>
  <c r="T129" i="1"/>
  <c r="S129" i="1"/>
  <c r="R129" i="1"/>
  <c r="C129" i="1"/>
  <c r="AF128" i="1"/>
  <c r="AE128" i="1"/>
  <c r="AD128" i="1"/>
  <c r="AC128" i="1"/>
  <c r="U128" i="1"/>
  <c r="T128" i="1"/>
  <c r="S128" i="1"/>
  <c r="R128" i="1"/>
  <c r="C128" i="1"/>
  <c r="AF127" i="1"/>
  <c r="AE127" i="1"/>
  <c r="AD127" i="1"/>
  <c r="AC127" i="1"/>
  <c r="U127" i="1"/>
  <c r="T127" i="1"/>
  <c r="S127" i="1"/>
  <c r="R127" i="1"/>
  <c r="C127" i="1"/>
  <c r="AF126" i="1"/>
  <c r="AE126" i="1"/>
  <c r="AD126" i="1"/>
  <c r="AC126" i="1"/>
  <c r="U126" i="1"/>
  <c r="T126" i="1"/>
  <c r="S126" i="1"/>
  <c r="R126" i="1"/>
  <c r="C126" i="1"/>
  <c r="AF125" i="1"/>
  <c r="AE125" i="1"/>
  <c r="AD125" i="1"/>
  <c r="AC125" i="1"/>
  <c r="U125" i="1"/>
  <c r="T125" i="1"/>
  <c r="S125" i="1"/>
  <c r="R125" i="1"/>
  <c r="C125" i="1"/>
  <c r="AH124" i="1"/>
  <c r="AF124" i="1"/>
  <c r="AE124" i="1"/>
  <c r="AD124" i="1"/>
  <c r="AC124" i="1"/>
  <c r="U124" i="1"/>
  <c r="T124" i="1"/>
  <c r="S124" i="1"/>
  <c r="R124" i="1"/>
  <c r="C124" i="1"/>
  <c r="AH123" i="1"/>
  <c r="AF123" i="1"/>
  <c r="AE123" i="1"/>
  <c r="AD123" i="1"/>
  <c r="AC123" i="1"/>
  <c r="U123" i="1"/>
  <c r="T123" i="1"/>
  <c r="S123" i="1"/>
  <c r="R123" i="1"/>
  <c r="C123" i="1"/>
  <c r="AF122" i="1"/>
  <c r="AE122" i="1"/>
  <c r="AD122" i="1"/>
  <c r="AC122" i="1"/>
  <c r="U122" i="1"/>
  <c r="T122" i="1"/>
  <c r="S122" i="1"/>
  <c r="R122" i="1"/>
  <c r="C122" i="1"/>
  <c r="AF121" i="1"/>
  <c r="AE121" i="1"/>
  <c r="AD121" i="1"/>
  <c r="AC121" i="1"/>
  <c r="U121" i="1"/>
  <c r="T121" i="1"/>
  <c r="S121" i="1"/>
  <c r="R121" i="1"/>
  <c r="C121" i="1"/>
  <c r="AH120" i="1"/>
  <c r="AF120" i="1"/>
  <c r="AE120" i="1"/>
  <c r="AD120" i="1"/>
  <c r="AC120" i="1"/>
  <c r="U120" i="1"/>
  <c r="T120" i="1"/>
  <c r="S120" i="1"/>
  <c r="R120" i="1"/>
  <c r="C120" i="1"/>
  <c r="AF119" i="1"/>
  <c r="AE119" i="1"/>
  <c r="AD119" i="1"/>
  <c r="AC119" i="1"/>
  <c r="U119" i="1"/>
  <c r="T119" i="1"/>
  <c r="S119" i="1"/>
  <c r="R119" i="1"/>
  <c r="C119" i="1"/>
  <c r="AH118" i="1"/>
  <c r="AF118" i="1"/>
  <c r="AE118" i="1"/>
  <c r="AD118" i="1"/>
  <c r="AC118" i="1"/>
  <c r="U118" i="1"/>
  <c r="T118" i="1"/>
  <c r="S118" i="1"/>
  <c r="R118" i="1"/>
  <c r="C118" i="1"/>
  <c r="AF117" i="1"/>
  <c r="AE117" i="1"/>
  <c r="AD117" i="1"/>
  <c r="AC117" i="1"/>
  <c r="U117" i="1"/>
  <c r="T117" i="1"/>
  <c r="S117" i="1"/>
  <c r="R117" i="1"/>
  <c r="C117" i="1"/>
  <c r="AF116" i="1"/>
  <c r="AE116" i="1"/>
  <c r="AD116" i="1"/>
  <c r="AC116" i="1"/>
  <c r="U116" i="1"/>
  <c r="T116" i="1"/>
  <c r="S116" i="1"/>
  <c r="R116" i="1"/>
  <c r="C116" i="1"/>
  <c r="BE115" i="1"/>
  <c r="AH115" i="1"/>
  <c r="AF115" i="1"/>
  <c r="AE115" i="1"/>
  <c r="AD115" i="1"/>
  <c r="AC115" i="1"/>
  <c r="U115" i="1"/>
  <c r="T115" i="1"/>
  <c r="S115" i="1"/>
  <c r="R115" i="1"/>
  <c r="C115" i="1"/>
  <c r="AF114" i="1"/>
  <c r="AE114" i="1"/>
  <c r="AD114" i="1"/>
  <c r="AC114" i="1"/>
  <c r="U114" i="1"/>
  <c r="T114" i="1"/>
  <c r="S114" i="1"/>
  <c r="R114" i="1"/>
  <c r="C114" i="1"/>
  <c r="AF113" i="1"/>
  <c r="AE113" i="1"/>
  <c r="AD113" i="1"/>
  <c r="AC113" i="1"/>
  <c r="U113" i="1"/>
  <c r="T113" i="1"/>
  <c r="S113" i="1"/>
  <c r="R113" i="1"/>
  <c r="C113" i="1"/>
  <c r="AF112" i="1"/>
  <c r="AE112" i="1"/>
  <c r="AD112" i="1"/>
  <c r="AC112" i="1"/>
  <c r="U112" i="1"/>
  <c r="T112" i="1"/>
  <c r="S112" i="1"/>
  <c r="R112" i="1"/>
  <c r="C112" i="1"/>
  <c r="AF111" i="1"/>
  <c r="AE111" i="1"/>
  <c r="AD111" i="1"/>
  <c r="AC111" i="1"/>
  <c r="U111" i="1"/>
  <c r="T111" i="1"/>
  <c r="S111" i="1"/>
  <c r="R111" i="1"/>
  <c r="C111" i="1"/>
  <c r="AF110" i="1"/>
  <c r="AE110" i="1"/>
  <c r="AD110" i="1"/>
  <c r="AC110" i="1"/>
  <c r="U110" i="1"/>
  <c r="T110" i="1"/>
  <c r="S110" i="1"/>
  <c r="R110" i="1"/>
  <c r="C110" i="1"/>
  <c r="AF109" i="1"/>
  <c r="AE109" i="1"/>
  <c r="AD109" i="1"/>
  <c r="AC109" i="1"/>
  <c r="U109" i="1"/>
  <c r="T109" i="1"/>
  <c r="S109" i="1"/>
  <c r="R109" i="1"/>
  <c r="C109" i="1"/>
  <c r="AF108" i="1"/>
  <c r="AE108" i="1"/>
  <c r="AD108" i="1"/>
  <c r="AC108" i="1"/>
  <c r="U108" i="1"/>
  <c r="T108" i="1"/>
  <c r="S108" i="1"/>
  <c r="R108" i="1"/>
  <c r="C108" i="1"/>
  <c r="AF107" i="1"/>
  <c r="AE107" i="1"/>
  <c r="AD107" i="1"/>
  <c r="AC107" i="1"/>
  <c r="U107" i="1"/>
  <c r="T107" i="1"/>
  <c r="S107" i="1"/>
  <c r="R107" i="1"/>
  <c r="C107" i="1"/>
  <c r="AF106" i="1"/>
  <c r="AE106" i="1"/>
  <c r="AD106" i="1"/>
  <c r="AC106" i="1"/>
  <c r="U106" i="1"/>
  <c r="T106" i="1"/>
  <c r="S106" i="1"/>
  <c r="R106" i="1"/>
  <c r="C106" i="1"/>
  <c r="AF105" i="1"/>
  <c r="AE105" i="1"/>
  <c r="AD105" i="1"/>
  <c r="AC105" i="1"/>
  <c r="U105" i="1"/>
  <c r="T105" i="1"/>
  <c r="S105" i="1"/>
  <c r="R105" i="1"/>
  <c r="C105" i="1"/>
  <c r="AF104" i="1"/>
  <c r="AE104" i="1"/>
  <c r="AD104" i="1"/>
  <c r="AC104" i="1"/>
  <c r="U104" i="1"/>
  <c r="T104" i="1"/>
  <c r="S104" i="1"/>
  <c r="R104" i="1"/>
  <c r="C104" i="1"/>
  <c r="AF103" i="1"/>
  <c r="AE103" i="1"/>
  <c r="AD103" i="1"/>
  <c r="AC103" i="1"/>
  <c r="U103" i="1"/>
  <c r="T103" i="1"/>
  <c r="S103" i="1"/>
  <c r="R103" i="1"/>
  <c r="C103" i="1"/>
  <c r="AH102" i="1"/>
  <c r="AF102" i="1"/>
  <c r="AE102" i="1"/>
  <c r="AD102" i="1"/>
  <c r="AC102" i="1"/>
  <c r="U102" i="1"/>
  <c r="T102" i="1"/>
  <c r="S102" i="1"/>
  <c r="R102" i="1"/>
  <c r="C102" i="1"/>
  <c r="AH101" i="1"/>
  <c r="AF101" i="1"/>
  <c r="AE101" i="1"/>
  <c r="AD101" i="1"/>
  <c r="AC101" i="1"/>
  <c r="U101" i="1"/>
  <c r="T101" i="1"/>
  <c r="S101" i="1"/>
  <c r="R101" i="1"/>
  <c r="C101" i="1"/>
  <c r="BE100" i="1"/>
  <c r="AH100" i="1"/>
  <c r="AF100" i="1"/>
  <c r="AE100" i="1"/>
  <c r="AD100" i="1"/>
  <c r="AC100" i="1"/>
  <c r="U100" i="1"/>
  <c r="T100" i="1"/>
  <c r="S100" i="1"/>
  <c r="R100" i="1"/>
  <c r="C100" i="1"/>
  <c r="AH99" i="1"/>
  <c r="AF99" i="1"/>
  <c r="AE99" i="1"/>
  <c r="AD99" i="1"/>
  <c r="AC99" i="1"/>
  <c r="U99" i="1"/>
  <c r="T99" i="1"/>
  <c r="S99" i="1"/>
  <c r="R99" i="1"/>
  <c r="C99" i="1"/>
  <c r="BE98" i="1"/>
  <c r="AH98" i="1"/>
  <c r="AF98" i="1"/>
  <c r="AE98" i="1"/>
  <c r="AD98" i="1"/>
  <c r="AC98" i="1"/>
  <c r="U98" i="1"/>
  <c r="T98" i="1"/>
  <c r="S98" i="1"/>
  <c r="R98" i="1"/>
  <c r="C98" i="1"/>
  <c r="AF97" i="1"/>
  <c r="AE97" i="1"/>
  <c r="AD97" i="1"/>
  <c r="AC97" i="1"/>
  <c r="U97" i="1"/>
  <c r="T97" i="1"/>
  <c r="S97" i="1"/>
  <c r="R97" i="1"/>
  <c r="C97" i="1"/>
  <c r="AF96" i="1"/>
  <c r="AE96" i="1"/>
  <c r="AD96" i="1"/>
  <c r="AC96" i="1"/>
  <c r="U96" i="1"/>
  <c r="T96" i="1"/>
  <c r="S96" i="1"/>
  <c r="R96" i="1"/>
  <c r="C96" i="1"/>
  <c r="AH95" i="1"/>
  <c r="AF95" i="1"/>
  <c r="AE95" i="1"/>
  <c r="AD95" i="1"/>
  <c r="AC95" i="1"/>
  <c r="U95" i="1"/>
  <c r="T95" i="1"/>
  <c r="S95" i="1"/>
  <c r="R95" i="1"/>
  <c r="C95" i="1"/>
  <c r="AF94" i="1"/>
  <c r="AE94" i="1"/>
  <c r="AD94" i="1"/>
  <c r="AC94" i="1"/>
  <c r="U94" i="1"/>
  <c r="T94" i="1"/>
  <c r="S94" i="1"/>
  <c r="R94" i="1"/>
  <c r="C94" i="1"/>
  <c r="AF93" i="1"/>
  <c r="AE93" i="1"/>
  <c r="AD93" i="1"/>
  <c r="AC93" i="1"/>
  <c r="U93" i="1"/>
  <c r="T93" i="1"/>
  <c r="S93" i="1"/>
  <c r="R93" i="1"/>
  <c r="C93" i="1"/>
  <c r="BE92" i="1"/>
  <c r="AF92" i="1"/>
  <c r="AE92" i="1"/>
  <c r="AD92" i="1"/>
  <c r="AC92" i="1"/>
  <c r="U92" i="1"/>
  <c r="T92" i="1"/>
  <c r="S92" i="1"/>
  <c r="R92" i="1"/>
  <c r="C92" i="1"/>
  <c r="AF91" i="1"/>
  <c r="AE91" i="1"/>
  <c r="AD91" i="1"/>
  <c r="AC91" i="1"/>
  <c r="U91" i="1"/>
  <c r="T91" i="1"/>
  <c r="S91" i="1"/>
  <c r="R91" i="1"/>
  <c r="C91" i="1"/>
  <c r="AF90" i="1"/>
  <c r="AE90" i="1"/>
  <c r="AD90" i="1"/>
  <c r="AC90" i="1"/>
  <c r="U90" i="1"/>
  <c r="T90" i="1"/>
  <c r="S90" i="1"/>
  <c r="R90" i="1"/>
  <c r="C90" i="1"/>
  <c r="AF89" i="1"/>
  <c r="AE89" i="1"/>
  <c r="AD89" i="1"/>
  <c r="AC89" i="1"/>
  <c r="U89" i="1"/>
  <c r="T89" i="1"/>
  <c r="S89" i="1"/>
  <c r="R89" i="1"/>
  <c r="C89" i="1"/>
  <c r="AF88" i="1"/>
  <c r="AE88" i="1"/>
  <c r="AD88" i="1"/>
  <c r="AC88" i="1"/>
  <c r="U88" i="1"/>
  <c r="T88" i="1"/>
  <c r="S88" i="1"/>
  <c r="R88" i="1"/>
  <c r="C88" i="1"/>
  <c r="AF87" i="1"/>
  <c r="AE87" i="1"/>
  <c r="AD87" i="1"/>
  <c r="AC87" i="1"/>
  <c r="U87" i="1"/>
  <c r="T87" i="1"/>
  <c r="S87" i="1"/>
  <c r="R87" i="1"/>
  <c r="C87" i="1"/>
  <c r="AF86" i="1"/>
  <c r="AE86" i="1"/>
  <c r="AD86" i="1"/>
  <c r="AC86" i="1"/>
  <c r="U86" i="1"/>
  <c r="T86" i="1"/>
  <c r="S86" i="1"/>
  <c r="R86" i="1"/>
  <c r="C86" i="1"/>
  <c r="AF85" i="1"/>
  <c r="AE85" i="1"/>
  <c r="AD85" i="1"/>
  <c r="AC85" i="1"/>
  <c r="U85" i="1"/>
  <c r="T85" i="1"/>
  <c r="S85" i="1"/>
  <c r="R85" i="1"/>
  <c r="C85" i="1"/>
  <c r="AF84" i="1"/>
  <c r="AE84" i="1"/>
  <c r="AD84" i="1"/>
  <c r="AC84" i="1"/>
  <c r="U84" i="1"/>
  <c r="T84" i="1"/>
  <c r="S84" i="1"/>
  <c r="R84" i="1"/>
  <c r="C84" i="1"/>
  <c r="BE83" i="1"/>
  <c r="AF83" i="1"/>
  <c r="AE83" i="1"/>
  <c r="AD83" i="1"/>
  <c r="AC83" i="1"/>
  <c r="U83" i="1"/>
  <c r="T83" i="1"/>
  <c r="S83" i="1"/>
  <c r="R83" i="1"/>
  <c r="C83" i="1"/>
  <c r="AH82" i="1"/>
  <c r="AF82" i="1"/>
  <c r="AE82" i="1"/>
  <c r="AD82" i="1"/>
  <c r="AC82" i="1"/>
  <c r="U82" i="1"/>
  <c r="T82" i="1"/>
  <c r="S82" i="1"/>
  <c r="R82" i="1"/>
  <c r="C82" i="1"/>
  <c r="BE81" i="1"/>
  <c r="AH81" i="1"/>
  <c r="AF81" i="1"/>
  <c r="AE81" i="1"/>
  <c r="AD81" i="1"/>
  <c r="AC81" i="1"/>
  <c r="U81" i="1"/>
  <c r="T81" i="1"/>
  <c r="S81" i="1"/>
  <c r="R81" i="1"/>
  <c r="C81" i="1"/>
  <c r="AF80" i="1"/>
  <c r="AE80" i="1"/>
  <c r="AD80" i="1"/>
  <c r="AC80" i="1"/>
  <c r="U80" i="1"/>
  <c r="T80" i="1"/>
  <c r="S80" i="1"/>
  <c r="R80" i="1"/>
  <c r="C80" i="1"/>
  <c r="BE79" i="1"/>
  <c r="AF79" i="1"/>
  <c r="AE79" i="1"/>
  <c r="AD79" i="1"/>
  <c r="AC79" i="1"/>
  <c r="U79" i="1"/>
  <c r="T79" i="1"/>
  <c r="S79" i="1"/>
  <c r="R79" i="1"/>
  <c r="C79" i="1"/>
  <c r="DR78" i="1"/>
  <c r="DP78" i="1"/>
  <c r="BE78" i="1"/>
  <c r="AF78" i="1"/>
  <c r="AE78" i="1"/>
  <c r="AD78" i="1"/>
  <c r="AC78" i="1"/>
  <c r="U78" i="1"/>
  <c r="T78" i="1"/>
  <c r="S78" i="1"/>
  <c r="R78" i="1"/>
  <c r="C78" i="1"/>
  <c r="AF77" i="1"/>
  <c r="AE77" i="1"/>
  <c r="AD77" i="1"/>
  <c r="AC77" i="1"/>
  <c r="U77" i="1"/>
  <c r="T77" i="1"/>
  <c r="S77" i="1"/>
  <c r="R77" i="1"/>
  <c r="C77" i="1"/>
  <c r="AF76" i="1"/>
  <c r="AE76" i="1"/>
  <c r="AD76" i="1"/>
  <c r="AC76" i="1"/>
  <c r="U76" i="1"/>
  <c r="T76" i="1"/>
  <c r="S76" i="1"/>
  <c r="R76" i="1"/>
  <c r="C76" i="1"/>
  <c r="AF75" i="1"/>
  <c r="AE75" i="1"/>
  <c r="AD75" i="1"/>
  <c r="AC75" i="1"/>
  <c r="U75" i="1"/>
  <c r="T75" i="1"/>
  <c r="S75" i="1"/>
  <c r="R75" i="1"/>
  <c r="C75" i="1"/>
  <c r="AF74" i="1"/>
  <c r="AE74" i="1"/>
  <c r="AD74" i="1"/>
  <c r="AC74" i="1"/>
  <c r="U74" i="1"/>
  <c r="T74" i="1"/>
  <c r="S74" i="1"/>
  <c r="R74" i="1"/>
  <c r="C74" i="1"/>
  <c r="AF73" i="1"/>
  <c r="AE73" i="1"/>
  <c r="AD73" i="1"/>
  <c r="AC73" i="1"/>
  <c r="U73" i="1"/>
  <c r="T73" i="1"/>
  <c r="S73" i="1"/>
  <c r="R73" i="1"/>
  <c r="C73" i="1"/>
  <c r="BE72" i="1"/>
  <c r="AH72" i="1"/>
  <c r="AF72" i="1"/>
  <c r="AE72" i="1"/>
  <c r="AD72" i="1"/>
  <c r="AC72" i="1"/>
  <c r="U72" i="1"/>
  <c r="T72" i="1"/>
  <c r="S72" i="1"/>
  <c r="R72" i="1"/>
  <c r="C72" i="1"/>
  <c r="BE71" i="1"/>
  <c r="AF71" i="1"/>
  <c r="AE71" i="1"/>
  <c r="AD71" i="1"/>
  <c r="AC71" i="1"/>
  <c r="U71" i="1"/>
  <c r="T71" i="1"/>
  <c r="S71" i="1"/>
  <c r="R71" i="1"/>
  <c r="C71" i="1"/>
  <c r="AF70" i="1"/>
  <c r="AE70" i="1"/>
  <c r="AD70" i="1"/>
  <c r="AC70" i="1"/>
  <c r="U70" i="1"/>
  <c r="T70" i="1"/>
  <c r="S70" i="1"/>
  <c r="R70" i="1"/>
  <c r="C70" i="1"/>
  <c r="AF69" i="1"/>
  <c r="AE69" i="1"/>
  <c r="AD69" i="1"/>
  <c r="AC69" i="1"/>
  <c r="U69" i="1"/>
  <c r="T69" i="1"/>
  <c r="S69" i="1"/>
  <c r="R69" i="1"/>
  <c r="C69" i="1"/>
  <c r="AF68" i="1"/>
  <c r="AE68" i="1"/>
  <c r="AD68" i="1"/>
  <c r="AC68" i="1"/>
  <c r="U68" i="1"/>
  <c r="T68" i="1"/>
  <c r="S68" i="1"/>
  <c r="R68" i="1"/>
  <c r="C68" i="1"/>
  <c r="AH67" i="1"/>
  <c r="AF67" i="1"/>
  <c r="AE67" i="1"/>
  <c r="AD67" i="1"/>
  <c r="AC67" i="1"/>
  <c r="U67" i="1"/>
  <c r="T67" i="1"/>
  <c r="S67" i="1"/>
  <c r="R67" i="1"/>
  <c r="C67" i="1"/>
  <c r="AH66" i="1"/>
  <c r="AF66" i="1"/>
  <c r="AE66" i="1"/>
  <c r="AD66" i="1"/>
  <c r="AC66" i="1"/>
  <c r="U66" i="1"/>
  <c r="T66" i="1"/>
  <c r="S66" i="1"/>
  <c r="R66" i="1"/>
  <c r="C66" i="1"/>
  <c r="AH65" i="1"/>
  <c r="AF65" i="1"/>
  <c r="AE65" i="1"/>
  <c r="AD65" i="1"/>
  <c r="AC65" i="1"/>
  <c r="U65" i="1"/>
  <c r="T65" i="1"/>
  <c r="S65" i="1"/>
  <c r="R65" i="1"/>
  <c r="C65" i="1"/>
  <c r="AH64" i="1"/>
  <c r="AF64" i="1"/>
  <c r="AE64" i="1"/>
  <c r="AD64" i="1"/>
  <c r="AC64" i="1"/>
  <c r="U64" i="1"/>
  <c r="T64" i="1"/>
  <c r="S64" i="1"/>
  <c r="R64" i="1"/>
  <c r="C64" i="1"/>
  <c r="AF63" i="1"/>
  <c r="AE63" i="1"/>
  <c r="AD63" i="1"/>
  <c r="AC63" i="1"/>
  <c r="U63" i="1"/>
  <c r="T63" i="1"/>
  <c r="S63" i="1"/>
  <c r="R63" i="1"/>
  <c r="C63" i="1"/>
  <c r="AF62" i="1"/>
  <c r="AE62" i="1"/>
  <c r="AD62" i="1"/>
  <c r="AC62" i="1"/>
  <c r="U62" i="1"/>
  <c r="T62" i="1"/>
  <c r="S62" i="1"/>
  <c r="R62" i="1"/>
  <c r="C62" i="1"/>
  <c r="AF61" i="1"/>
  <c r="AE61" i="1"/>
  <c r="AD61" i="1"/>
  <c r="AC61" i="1"/>
  <c r="U61" i="1"/>
  <c r="T61" i="1"/>
  <c r="S61" i="1"/>
  <c r="R61" i="1"/>
  <c r="C61" i="1"/>
  <c r="AF60" i="1"/>
  <c r="AE60" i="1"/>
  <c r="AD60" i="1"/>
  <c r="AC60" i="1"/>
  <c r="U60" i="1"/>
  <c r="T60" i="1"/>
  <c r="S60" i="1"/>
  <c r="R60" i="1"/>
  <c r="C60" i="1"/>
  <c r="AF59" i="1"/>
  <c r="AE59" i="1"/>
  <c r="AD59" i="1"/>
  <c r="AC59" i="1"/>
  <c r="U59" i="1"/>
  <c r="T59" i="1"/>
  <c r="S59" i="1"/>
  <c r="R59" i="1"/>
  <c r="C59" i="1"/>
  <c r="AF58" i="1"/>
  <c r="AE58" i="1"/>
  <c r="AD58" i="1"/>
  <c r="AC58" i="1"/>
  <c r="U58" i="1"/>
  <c r="T58" i="1"/>
  <c r="S58" i="1"/>
  <c r="R58" i="1"/>
  <c r="C58" i="1"/>
  <c r="AF57" i="1"/>
  <c r="AE57" i="1"/>
  <c r="AD57" i="1"/>
  <c r="AC57" i="1"/>
  <c r="U57" i="1"/>
  <c r="T57" i="1"/>
  <c r="S57" i="1"/>
  <c r="R57" i="1"/>
  <c r="C57" i="1"/>
  <c r="BE56" i="1"/>
  <c r="AH56" i="1"/>
  <c r="AF56" i="1"/>
  <c r="AE56" i="1"/>
  <c r="AD56" i="1"/>
  <c r="AC56" i="1"/>
  <c r="U56" i="1"/>
  <c r="T56" i="1"/>
  <c r="S56" i="1"/>
  <c r="R56" i="1"/>
  <c r="C56" i="1"/>
  <c r="AF55" i="1"/>
  <c r="AE55" i="1"/>
  <c r="AD55" i="1"/>
  <c r="AC55" i="1"/>
  <c r="U55" i="1"/>
  <c r="T55" i="1"/>
  <c r="S55" i="1"/>
  <c r="R55" i="1"/>
  <c r="C55" i="1"/>
  <c r="AF54" i="1"/>
  <c r="AE54" i="1"/>
  <c r="AD54" i="1"/>
  <c r="AC54" i="1"/>
  <c r="U54" i="1"/>
  <c r="T54" i="1"/>
  <c r="S54" i="1"/>
  <c r="R54" i="1"/>
  <c r="C54" i="1"/>
  <c r="AF53" i="1"/>
  <c r="AE53" i="1"/>
  <c r="AD53" i="1"/>
  <c r="AC53" i="1"/>
  <c r="U53" i="1"/>
  <c r="T53" i="1"/>
  <c r="S53" i="1"/>
  <c r="R53" i="1"/>
  <c r="C53" i="1"/>
  <c r="AH52" i="1"/>
  <c r="AF52" i="1"/>
  <c r="AE52" i="1"/>
  <c r="AD52" i="1"/>
  <c r="AC52" i="1"/>
  <c r="U52" i="1"/>
  <c r="T52" i="1"/>
  <c r="S52" i="1"/>
  <c r="R52" i="1"/>
  <c r="C52" i="1"/>
  <c r="BE51" i="1"/>
  <c r="AH51" i="1"/>
  <c r="AF51" i="1"/>
  <c r="AE51" i="1"/>
  <c r="AD51" i="1"/>
  <c r="AC51" i="1"/>
  <c r="U51" i="1"/>
  <c r="T51" i="1"/>
  <c r="S51" i="1"/>
  <c r="R51" i="1"/>
  <c r="C51" i="1"/>
  <c r="AH50" i="1"/>
  <c r="AF50" i="1"/>
  <c r="AE50" i="1"/>
  <c r="AD50" i="1"/>
  <c r="AC50" i="1"/>
  <c r="U50" i="1"/>
  <c r="T50" i="1"/>
  <c r="S50" i="1"/>
  <c r="R50" i="1"/>
  <c r="C50" i="1"/>
  <c r="AH49" i="1"/>
  <c r="AF49" i="1"/>
  <c r="AE49" i="1"/>
  <c r="AD49" i="1"/>
  <c r="AC49" i="1"/>
  <c r="U49" i="1"/>
  <c r="T49" i="1"/>
  <c r="S49" i="1"/>
  <c r="R49" i="1"/>
  <c r="C49" i="1"/>
  <c r="AH48" i="1"/>
  <c r="AF48" i="1"/>
  <c r="AE48" i="1"/>
  <c r="AD48" i="1"/>
  <c r="AC48" i="1"/>
  <c r="U48" i="1"/>
  <c r="T48" i="1"/>
  <c r="S48" i="1"/>
  <c r="R48" i="1"/>
  <c r="C48" i="1"/>
  <c r="BE47" i="1"/>
  <c r="AH47" i="1"/>
  <c r="AF47" i="1"/>
  <c r="AE47" i="1"/>
  <c r="AD47" i="1"/>
  <c r="AC47" i="1"/>
  <c r="U47" i="1"/>
  <c r="T47" i="1"/>
  <c r="S47" i="1"/>
  <c r="R47" i="1"/>
  <c r="C47" i="1"/>
  <c r="AF46" i="1"/>
  <c r="AE46" i="1"/>
  <c r="AD46" i="1"/>
  <c r="AC46" i="1"/>
  <c r="U46" i="1"/>
  <c r="T46" i="1"/>
  <c r="S46" i="1"/>
  <c r="R46" i="1"/>
  <c r="C46" i="1"/>
  <c r="AH45" i="1"/>
  <c r="AF45" i="1"/>
  <c r="AE45" i="1"/>
  <c r="AD45" i="1"/>
  <c r="AC45" i="1"/>
  <c r="U45" i="1"/>
  <c r="T45" i="1"/>
  <c r="S45" i="1"/>
  <c r="R45" i="1"/>
  <c r="C45" i="1"/>
  <c r="AF44" i="1"/>
  <c r="AE44" i="1"/>
  <c r="AD44" i="1"/>
  <c r="AC44" i="1"/>
  <c r="U44" i="1"/>
  <c r="T44" i="1"/>
  <c r="S44" i="1"/>
  <c r="R44" i="1"/>
  <c r="C44" i="1"/>
  <c r="AF43" i="1"/>
  <c r="AE43" i="1"/>
  <c r="AD43" i="1"/>
  <c r="AC43" i="1"/>
  <c r="U43" i="1"/>
  <c r="T43" i="1"/>
  <c r="S43" i="1"/>
  <c r="R43" i="1"/>
  <c r="C43" i="1"/>
  <c r="AF42" i="1"/>
  <c r="AE42" i="1"/>
  <c r="AD42" i="1"/>
  <c r="AC42" i="1"/>
  <c r="U42" i="1"/>
  <c r="T42" i="1"/>
  <c r="S42" i="1"/>
  <c r="R42" i="1"/>
  <c r="C42" i="1"/>
  <c r="AF41" i="1"/>
  <c r="AE41" i="1"/>
  <c r="AD41" i="1"/>
  <c r="AC41" i="1"/>
  <c r="U41" i="1"/>
  <c r="T41" i="1"/>
  <c r="S41" i="1"/>
  <c r="R41" i="1"/>
  <c r="C41" i="1"/>
  <c r="AF40" i="1"/>
  <c r="AE40" i="1"/>
  <c r="AD40" i="1"/>
  <c r="AC40" i="1"/>
  <c r="U40" i="1"/>
  <c r="T40" i="1"/>
  <c r="S40" i="1"/>
  <c r="R40" i="1"/>
  <c r="C40" i="1"/>
  <c r="DP39" i="1"/>
  <c r="AF39" i="1"/>
  <c r="AE39" i="1"/>
  <c r="AD39" i="1"/>
  <c r="AC39" i="1"/>
  <c r="U39" i="1"/>
  <c r="T39" i="1"/>
  <c r="S39" i="1"/>
  <c r="R39" i="1"/>
  <c r="C39" i="1"/>
  <c r="BE38" i="1"/>
  <c r="AF38" i="1"/>
  <c r="AE38" i="1"/>
  <c r="AD38" i="1"/>
  <c r="AC38" i="1"/>
  <c r="U38" i="1"/>
  <c r="T38" i="1"/>
  <c r="S38" i="1"/>
  <c r="R38" i="1"/>
  <c r="C38" i="1"/>
  <c r="AF37" i="1"/>
  <c r="AE37" i="1"/>
  <c r="AD37" i="1"/>
  <c r="AC37" i="1"/>
  <c r="U37" i="1"/>
  <c r="T37" i="1"/>
  <c r="S37" i="1"/>
  <c r="R37" i="1"/>
  <c r="C37" i="1"/>
  <c r="AF36" i="1"/>
  <c r="AE36" i="1"/>
  <c r="AD36" i="1"/>
  <c r="AC36" i="1"/>
  <c r="U36" i="1"/>
  <c r="T36" i="1"/>
  <c r="S36" i="1"/>
  <c r="R36" i="1"/>
  <c r="C36" i="1"/>
  <c r="AF35" i="1"/>
  <c r="AE35" i="1"/>
  <c r="AD35" i="1"/>
  <c r="AC35" i="1"/>
  <c r="U35" i="1"/>
  <c r="T35" i="1"/>
  <c r="S35" i="1"/>
  <c r="R35" i="1"/>
  <c r="C35" i="1"/>
  <c r="AH34" i="1"/>
  <c r="AF34" i="1"/>
  <c r="AE34" i="1"/>
  <c r="AD34" i="1"/>
  <c r="AC34" i="1"/>
  <c r="U34" i="1"/>
  <c r="T34" i="1"/>
  <c r="S34" i="1"/>
  <c r="R34" i="1"/>
  <c r="C34" i="1"/>
  <c r="AH33" i="1"/>
  <c r="AF33" i="1"/>
  <c r="AE33" i="1"/>
  <c r="AD33" i="1"/>
  <c r="AC33" i="1"/>
  <c r="U33" i="1"/>
  <c r="T33" i="1"/>
  <c r="S33" i="1"/>
  <c r="R33" i="1"/>
  <c r="C33" i="1"/>
  <c r="AF32" i="1"/>
  <c r="AE32" i="1"/>
  <c r="AD32" i="1"/>
  <c r="AC32" i="1"/>
  <c r="U32" i="1"/>
  <c r="T32" i="1"/>
  <c r="S32" i="1"/>
  <c r="R32" i="1"/>
  <c r="C32" i="1"/>
  <c r="AF31" i="1"/>
  <c r="AE31" i="1"/>
  <c r="AD31" i="1"/>
  <c r="AC31" i="1"/>
  <c r="U31" i="1"/>
  <c r="T31" i="1"/>
  <c r="S31" i="1"/>
  <c r="R31" i="1"/>
  <c r="C31" i="1"/>
  <c r="AH30" i="1"/>
  <c r="AF30" i="1"/>
  <c r="AE30" i="1"/>
  <c r="AD30" i="1"/>
  <c r="AC30" i="1"/>
  <c r="U30" i="1"/>
  <c r="T30" i="1"/>
  <c r="S30" i="1"/>
  <c r="R30" i="1"/>
  <c r="C30" i="1"/>
  <c r="AH29" i="1"/>
  <c r="AF29" i="1"/>
  <c r="AE29" i="1"/>
  <c r="AD29" i="1"/>
  <c r="AC29" i="1"/>
  <c r="U29" i="1"/>
  <c r="T29" i="1"/>
  <c r="S29" i="1"/>
  <c r="R29" i="1"/>
  <c r="C29" i="1"/>
  <c r="AH28" i="1"/>
  <c r="AF28" i="1"/>
  <c r="AE28" i="1"/>
  <c r="AD28" i="1"/>
  <c r="AC28" i="1"/>
  <c r="U28" i="1"/>
  <c r="T28" i="1"/>
  <c r="S28" i="1"/>
  <c r="R28" i="1"/>
  <c r="C28" i="1"/>
  <c r="AH27" i="1"/>
  <c r="AF27" i="1"/>
  <c r="AE27" i="1"/>
  <c r="AD27" i="1"/>
  <c r="AC27" i="1"/>
  <c r="U27" i="1"/>
  <c r="T27" i="1"/>
  <c r="S27" i="1"/>
  <c r="R27" i="1"/>
  <c r="C27" i="1"/>
  <c r="AH26" i="1"/>
  <c r="AF26" i="1"/>
  <c r="AE26" i="1"/>
  <c r="AD26" i="1"/>
  <c r="AC26" i="1"/>
  <c r="U26" i="1"/>
  <c r="T26" i="1"/>
  <c r="S26" i="1"/>
  <c r="R26" i="1"/>
  <c r="C26" i="1"/>
  <c r="AH25" i="1"/>
  <c r="AF25" i="1"/>
  <c r="AE25" i="1"/>
  <c r="AD25" i="1"/>
  <c r="AC25" i="1"/>
  <c r="U25" i="1"/>
  <c r="T25" i="1"/>
  <c r="S25" i="1"/>
  <c r="R25" i="1"/>
  <c r="C25" i="1"/>
  <c r="AF24" i="1"/>
  <c r="AE24" i="1"/>
  <c r="AD24" i="1"/>
  <c r="AC24" i="1"/>
  <c r="U24" i="1"/>
  <c r="T24" i="1"/>
  <c r="S24" i="1"/>
  <c r="R24" i="1"/>
  <c r="C24" i="1"/>
  <c r="AH23" i="1"/>
  <c r="AF23" i="1"/>
  <c r="AE23" i="1"/>
  <c r="AD23" i="1"/>
  <c r="AC23" i="1"/>
  <c r="U23" i="1"/>
  <c r="T23" i="1"/>
  <c r="S23" i="1"/>
  <c r="R23" i="1"/>
  <c r="C23" i="1"/>
  <c r="AF22" i="1"/>
  <c r="AE22" i="1"/>
  <c r="AD22" i="1"/>
  <c r="AC22" i="1"/>
  <c r="U22" i="1"/>
  <c r="T22" i="1"/>
  <c r="S22" i="1"/>
  <c r="R22" i="1"/>
  <c r="C22" i="1"/>
  <c r="BE21" i="1"/>
  <c r="AF21" i="1"/>
  <c r="AE21" i="1"/>
  <c r="AD21" i="1"/>
  <c r="AC21" i="1"/>
  <c r="U21" i="1"/>
  <c r="T21" i="1"/>
  <c r="S21" i="1"/>
  <c r="R21" i="1"/>
  <c r="C21" i="1"/>
  <c r="AH20" i="1"/>
  <c r="AF20" i="1"/>
  <c r="AE20" i="1"/>
  <c r="AD20" i="1"/>
  <c r="AC20" i="1"/>
  <c r="U20" i="1"/>
  <c r="T20" i="1"/>
  <c r="S20" i="1"/>
  <c r="R20" i="1"/>
  <c r="C20" i="1"/>
  <c r="AH19" i="1"/>
  <c r="AF19" i="1"/>
  <c r="AE19" i="1"/>
  <c r="AD19" i="1"/>
  <c r="AC19" i="1"/>
  <c r="U19" i="1"/>
  <c r="T19" i="1"/>
  <c r="S19" i="1"/>
  <c r="R19" i="1"/>
  <c r="C19" i="1"/>
  <c r="BE18" i="1"/>
  <c r="AH18" i="1"/>
  <c r="AF18" i="1"/>
  <c r="AE18" i="1"/>
  <c r="AD18" i="1"/>
  <c r="AC18" i="1"/>
  <c r="U18" i="1"/>
  <c r="T18" i="1"/>
  <c r="S18" i="1"/>
  <c r="R18" i="1"/>
  <c r="C18" i="1"/>
  <c r="AH17" i="1"/>
  <c r="AF17" i="1"/>
  <c r="AE17" i="1"/>
  <c r="AD17" i="1"/>
  <c r="AC17" i="1"/>
  <c r="U17" i="1"/>
  <c r="T17" i="1"/>
  <c r="S17" i="1"/>
  <c r="R17" i="1"/>
  <c r="C17" i="1"/>
  <c r="AH16" i="1"/>
  <c r="AF16" i="1"/>
  <c r="AE16" i="1"/>
  <c r="AD16" i="1"/>
  <c r="AC16" i="1"/>
  <c r="U16" i="1"/>
  <c r="T16" i="1"/>
  <c r="S16" i="1"/>
  <c r="R16" i="1"/>
  <c r="C16" i="1"/>
  <c r="AF15" i="1"/>
  <c r="AE15" i="1"/>
  <c r="AD15" i="1"/>
  <c r="AC15" i="1"/>
  <c r="U15" i="1"/>
  <c r="T15" i="1"/>
  <c r="S15" i="1"/>
  <c r="R15" i="1"/>
  <c r="C15" i="1"/>
  <c r="AF14" i="1"/>
  <c r="AE14" i="1"/>
  <c r="AD14" i="1"/>
  <c r="AC14" i="1"/>
  <c r="U14" i="1"/>
  <c r="T14" i="1"/>
  <c r="S14" i="1"/>
  <c r="R14" i="1"/>
  <c r="C14" i="1"/>
  <c r="AH13" i="1"/>
  <c r="AF13" i="1"/>
  <c r="AE13" i="1"/>
  <c r="AD13" i="1"/>
  <c r="AC13" i="1"/>
  <c r="U13" i="1"/>
  <c r="T13" i="1"/>
  <c r="S13" i="1"/>
  <c r="R13" i="1"/>
  <c r="C13" i="1"/>
  <c r="AH12" i="1"/>
  <c r="AF12" i="1"/>
  <c r="AE12" i="1"/>
  <c r="AD12" i="1"/>
  <c r="AC12" i="1"/>
  <c r="U12" i="1"/>
  <c r="T12" i="1"/>
  <c r="S12" i="1"/>
  <c r="R12" i="1"/>
  <c r="C12" i="1"/>
  <c r="AH11" i="1"/>
  <c r="AF11" i="1"/>
  <c r="AE11" i="1"/>
  <c r="AD11" i="1"/>
  <c r="AC11" i="1"/>
  <c r="U11" i="1"/>
  <c r="T11" i="1"/>
  <c r="S11" i="1"/>
  <c r="R11" i="1"/>
  <c r="C11" i="1"/>
  <c r="DJ10" i="1"/>
  <c r="AF10" i="1"/>
  <c r="AE10" i="1"/>
  <c r="AD10" i="1"/>
  <c r="AC10" i="1"/>
  <c r="U10" i="1"/>
  <c r="T10" i="1"/>
  <c r="S10" i="1"/>
  <c r="R10" i="1"/>
  <c r="C10" i="1"/>
  <c r="AF9" i="1"/>
  <c r="AE9" i="1"/>
  <c r="AD9" i="1"/>
  <c r="AC9" i="1"/>
  <c r="U9" i="1"/>
  <c r="T9" i="1"/>
  <c r="S9" i="1"/>
  <c r="R9" i="1"/>
  <c r="C9" i="1"/>
  <c r="BE8" i="1"/>
  <c r="AF8" i="1"/>
  <c r="AE8" i="1"/>
  <c r="AD8" i="1"/>
  <c r="AC8" i="1"/>
  <c r="U8" i="1"/>
  <c r="T8" i="1"/>
  <c r="S8" i="1"/>
  <c r="R8" i="1"/>
  <c r="C8" i="1"/>
  <c r="AH7" i="1"/>
  <c r="AF7" i="1"/>
  <c r="AE7" i="1"/>
  <c r="AD7" i="1"/>
  <c r="AC7" i="1"/>
  <c r="U7" i="1"/>
  <c r="T7" i="1"/>
  <c r="S7" i="1"/>
  <c r="R7" i="1"/>
  <c r="C7" i="1"/>
  <c r="AH6" i="1"/>
  <c r="AF6" i="1"/>
  <c r="AE6" i="1"/>
  <c r="AD6" i="1"/>
  <c r="AC6" i="1"/>
  <c r="U6" i="1"/>
  <c r="T6" i="1"/>
  <c r="S6" i="1"/>
  <c r="R6" i="1"/>
  <c r="C6" i="1"/>
  <c r="AH5" i="1"/>
  <c r="AF5" i="1"/>
  <c r="AE5" i="1"/>
  <c r="AD5" i="1"/>
  <c r="AC5" i="1"/>
  <c r="U5" i="1"/>
  <c r="T5" i="1"/>
  <c r="S5" i="1"/>
  <c r="R5" i="1"/>
  <c r="C5" i="1"/>
  <c r="AH4" i="1"/>
  <c r="AF4" i="1"/>
  <c r="AE4" i="1"/>
  <c r="AD4" i="1"/>
  <c r="AC4" i="1"/>
  <c r="U4" i="1"/>
  <c r="T4" i="1"/>
  <c r="S4" i="1"/>
  <c r="R4" i="1"/>
  <c r="C4" i="1"/>
  <c r="AF3" i="1"/>
  <c r="AE3" i="1"/>
  <c r="AD3" i="1"/>
  <c r="AC3" i="1"/>
  <c r="U3" i="1"/>
  <c r="T3" i="1"/>
  <c r="S3" i="1"/>
  <c r="R3" i="1"/>
  <c r="C3" i="1"/>
  <c r="AF2" i="1"/>
  <c r="AE2" i="1"/>
  <c r="AD2" i="1"/>
  <c r="AC2" i="1"/>
  <c r="U2" i="1"/>
  <c r="T2" i="1"/>
  <c r="S2" i="1"/>
  <c r="R2" i="1"/>
  <c r="C2" i="1"/>
  <c r="C264" i="1"/>
  <c r="R264" i="1"/>
  <c r="S264" i="1"/>
  <c r="T264" i="1"/>
  <c r="U264" i="1"/>
  <c r="AC264" i="1"/>
  <c r="AD264" i="1"/>
  <c r="AE264" i="1"/>
  <c r="AF264" i="1"/>
  <c r="C265" i="1"/>
  <c r="R265" i="1"/>
  <c r="S265" i="1"/>
  <c r="T265" i="1"/>
  <c r="U265" i="1"/>
  <c r="AC265" i="1"/>
  <c r="AD265" i="1"/>
  <c r="AE265" i="1"/>
  <c r="AF265" i="1"/>
  <c r="AH265" i="1"/>
  <c r="C266" i="1"/>
  <c r="R266" i="1"/>
  <c r="S266" i="1"/>
  <c r="T266" i="1"/>
  <c r="U266" i="1"/>
  <c r="AC266" i="1"/>
  <c r="AD266" i="1"/>
  <c r="AE266" i="1"/>
  <c r="AF266" i="1"/>
  <c r="C267" i="1"/>
  <c r="R267" i="1"/>
  <c r="S267" i="1"/>
  <c r="T267" i="1"/>
  <c r="U267" i="1"/>
  <c r="AC267" i="1"/>
  <c r="AD267" i="1"/>
  <c r="AE267" i="1"/>
  <c r="AF267" i="1"/>
  <c r="C268" i="1"/>
  <c r="R268" i="1"/>
  <c r="S268" i="1"/>
  <c r="T268" i="1"/>
  <c r="U268" i="1"/>
  <c r="AC268" i="1"/>
  <c r="AD268" i="1"/>
  <c r="AE268" i="1"/>
  <c r="AF268" i="1"/>
  <c r="AH268" i="1"/>
  <c r="C269" i="1"/>
  <c r="R269" i="1"/>
  <c r="S269" i="1"/>
  <c r="T269" i="1"/>
  <c r="U269" i="1"/>
  <c r="AC269" i="1"/>
  <c r="AD269" i="1"/>
  <c r="AE269" i="1"/>
  <c r="AF269" i="1"/>
  <c r="C270" i="1"/>
  <c r="R270" i="1"/>
  <c r="S270" i="1"/>
  <c r="T270" i="1"/>
  <c r="U270" i="1"/>
  <c r="AC270" i="1"/>
  <c r="AD270" i="1"/>
  <c r="AE270" i="1"/>
  <c r="AF270" i="1"/>
  <c r="AH270" i="1"/>
  <c r="C271" i="1"/>
  <c r="R271" i="1"/>
  <c r="S271" i="1"/>
  <c r="T271" i="1"/>
  <c r="U271" i="1"/>
  <c r="AC271" i="1"/>
  <c r="AD271" i="1"/>
  <c r="AE271" i="1"/>
  <c r="AF271" i="1"/>
  <c r="AH271" i="1"/>
  <c r="C272" i="1"/>
  <c r="R272" i="1"/>
  <c r="S272" i="1"/>
  <c r="T272" i="1"/>
  <c r="U272" i="1"/>
  <c r="AC272" i="1"/>
  <c r="AD272" i="1"/>
  <c r="AE272" i="1"/>
  <c r="AF272" i="1"/>
  <c r="AH272" i="1"/>
  <c r="C273" i="1"/>
  <c r="R273" i="1"/>
  <c r="S273" i="1"/>
  <c r="T273" i="1"/>
  <c r="U273" i="1"/>
  <c r="AC273" i="1"/>
  <c r="AD273" i="1"/>
  <c r="AE273" i="1"/>
  <c r="AF273" i="1"/>
  <c r="AH273" i="1"/>
  <c r="C274" i="1"/>
  <c r="R274" i="1"/>
  <c r="S274" i="1"/>
  <c r="T274" i="1"/>
  <c r="U274" i="1"/>
  <c r="AC274" i="1"/>
  <c r="AD274" i="1"/>
  <c r="AH274" i="1"/>
</calcChain>
</file>

<file path=xl/sharedStrings.xml><?xml version="1.0" encoding="utf-8"?>
<sst xmlns="http://schemas.openxmlformats.org/spreadsheetml/2006/main" count="16633" uniqueCount="1317">
  <si>
    <t>EI Контингента</t>
  </si>
  <si>
    <t>ID контингента</t>
  </si>
  <si>
    <t>ИИН</t>
  </si>
  <si>
    <t>Фамилия</t>
  </si>
  <si>
    <t>Имя</t>
  </si>
  <si>
    <t>Отчество</t>
  </si>
  <si>
    <t>Дата рождения</t>
  </si>
  <si>
    <t>Причина отсутствия ИИН [7194]</t>
  </si>
  <si>
    <t>Пол [206]</t>
  </si>
  <si>
    <t>Гражданство [6416]</t>
  </si>
  <si>
    <t>Национальность [210]</t>
  </si>
  <si>
    <t>Беженец [6636]</t>
  </si>
  <si>
    <t>Номер документа, удостоверяющего личность [6908]</t>
  </si>
  <si>
    <t>Дата выдачи документа, удостоверяющего личность [6910]</t>
  </si>
  <si>
    <t>Вложение (прикрепите скан копию документа, удостоверяющего личность: 1-я скан копия, страница с паспорта, где ФИО) [7276]</t>
  </si>
  <si>
    <t>Вложение (прикрепите скан копию документа, удостоверяющего личность: 2-я скан копия, страница с печатью пограничной службы) [7277]</t>
  </si>
  <si>
    <t>Кандас [6194]</t>
  </si>
  <si>
    <t>Адрес постоянной регистрации на русском [6997]</t>
  </si>
  <si>
    <t>Адрес постоянной регистрации на казахском [6998]</t>
  </si>
  <si>
    <t>Адрес временной регистрации на русском [6999]</t>
  </si>
  <si>
    <t>Адрес временной регистрации на казахском [7000]</t>
  </si>
  <si>
    <t>Законный представитель учащегося [7021]</t>
  </si>
  <si>
    <t>Работает [7009]</t>
  </si>
  <si>
    <t>Должность законного представителя [7010]</t>
  </si>
  <si>
    <t>Место работы законного представителя [7011]</t>
  </si>
  <si>
    <t>Заявление на принятие в ОО [application_work_eo]</t>
  </si>
  <si>
    <t>№ личного дела учащегося [7014]</t>
  </si>
  <si>
    <t>Дата создания личного дела [7015]</t>
  </si>
  <si>
    <t>Дата прибытия/зачисления [267]</t>
  </si>
  <si>
    <t>Номер приказа прибытия/зачисления [5672]</t>
  </si>
  <si>
    <t>Дата начала учебного года [start_school_year]</t>
  </si>
  <si>
    <t>Дата окончания учебного года [end_school_year]</t>
  </si>
  <si>
    <t>Прибыл(-а) [266]</t>
  </si>
  <si>
    <t>Электронный адрес (Е-mail) [6915]</t>
  </si>
  <si>
    <t>Посещал дошкольные организации [5682]</t>
  </si>
  <si>
    <t>Курс обучения [5802]</t>
  </si>
  <si>
    <t>Параллель [207]</t>
  </si>
  <si>
    <t>Индивидуальная карта развития ребенка предшкольной группы/класса [individual_chart33]</t>
  </si>
  <si>
    <t>ИИН педагога, заполнившего карту [filled_teacher_iin_1]</t>
  </si>
  <si>
    <t>ФИО педагога, заполнившего карту [filled_teacher_name_1]</t>
  </si>
  <si>
    <t>Дата заполнения Карты [card_replenishment_date_1]</t>
  </si>
  <si>
    <t>Литера [6668]</t>
  </si>
  <si>
    <t>Участник экспериментальной образовательной программы по рабочим квалификациям для обучающихся 10-13 классов [experimental_educational]</t>
  </si>
  <si>
    <t>ID организации [external_school_id]</t>
  </si>
  <si>
    <t>Наименование организации [external_name_organization]</t>
  </si>
  <si>
    <t>Класс-комплект [423]</t>
  </si>
  <si>
    <t>Учащийся (вид класса) [264]</t>
  </si>
  <si>
    <t>Учится в группе продленного дня [254]</t>
  </si>
  <si>
    <t>Язык обучения [209]</t>
  </si>
  <si>
    <t>Смена обучения [208]</t>
  </si>
  <si>
    <t>Форма обучения [5568]</t>
  </si>
  <si>
    <t>Учится в классе с вечерней формой обучения [263]</t>
  </si>
  <si>
    <t>Наличие компьютерных/иных устройств дома [7214]</t>
  </si>
  <si>
    <t>Инвентарный номер [7239]</t>
  </si>
  <si>
    <t>Источник приобретения [7240]</t>
  </si>
  <si>
    <t>Год приобретения [7241]</t>
  </si>
  <si>
    <t>Дата изменения Наличия комп.устройств(обеспечен организацией) [7280]</t>
  </si>
  <si>
    <t>Наличие доступа к Интернету дома [7213]</t>
  </si>
  <si>
    <t>Обеспечен [7245]</t>
  </si>
  <si>
    <t>Серийный номер модема/роутера [7246]</t>
  </si>
  <si>
    <t>Ребенок , обучающийся на дому [5776]</t>
  </si>
  <si>
    <t>Дата заключения ВКК (Врачебно-консультативная комиссия ) [founding_date_wcc]</t>
  </si>
  <si>
    <t>Номер заключения ВКК (Врачебно-консультативная комиссия ) [conclusion_number_wcc]</t>
  </si>
  <si>
    <t>№ приказа обучения на дому [NumberOrderSchool]</t>
  </si>
  <si>
    <t>Дата [DateOrderSchool]</t>
  </si>
  <si>
    <t>Диагноз [6982]</t>
  </si>
  <si>
    <t>Программа обучения [6983]</t>
  </si>
  <si>
    <t>Период индивидуального обучения [6984] / Период с [76518]</t>
  </si>
  <si>
    <t>Период индивидуального обучения [6984] / Период по [76519]</t>
  </si>
  <si>
    <t>Ребенок, обучающийся дистанционно [5777]</t>
  </si>
  <si>
    <t>Сведения об интернате [262]</t>
  </si>
  <si>
    <t>Сведения о подвозе [7049]</t>
  </si>
  <si>
    <t>Обеспечен комплектом учебников [7022]</t>
  </si>
  <si>
    <t>Охват горячим питанием [6641]</t>
  </si>
  <si>
    <t>Охват буфетным питанием [6642]</t>
  </si>
  <si>
    <t>Уровень успеваемости (годовая оценка) [247]</t>
  </si>
  <si>
    <t>Оставлен на повторный курс [5670]</t>
  </si>
  <si>
    <t>Освоение программы по дисциплинам естественно-математического цикла (годовые оценки) [5778] / Дисциплины [74990]</t>
  </si>
  <si>
    <t>Освоение программы по дисциплинам естественно-математического цикла (годовые оценки) [5778] / Оценка [74991]</t>
  </si>
  <si>
    <t>В классе углубленного изучения предметов [214]</t>
  </si>
  <si>
    <t>Изучаемый иностранный язык 1 [7019]</t>
  </si>
  <si>
    <t>Изучаемый иностранный язык 2 [7020]</t>
  </si>
  <si>
    <t>Изучает английский язык с первого класса [6337]</t>
  </si>
  <si>
    <t>Изучение предметов на иностранном языке [5596] / Язык обучения [74997]</t>
  </si>
  <si>
    <t>Изучение предметов на иностранном языке [5596] / Предметы [75072]</t>
  </si>
  <si>
    <t>Родной язык как самостоятельный предмет [255]</t>
  </si>
  <si>
    <t>Родные языки изучает факультативно или в кружках [270]</t>
  </si>
  <si>
    <t>Техника чтения в минуту [6758]</t>
  </si>
  <si>
    <t>Посещает кружки и секции в данной организации [7271] / Наименование кружков/секций [72711]</t>
  </si>
  <si>
    <t>Посещает кружки и секции в данной организации [7271] / Способ оплаты [72712]</t>
  </si>
  <si>
    <t>Посещает организации дополнительного образования для детей (внешкольные организации) [7270] / Наименование кружков/секций [72701]</t>
  </si>
  <si>
    <t>Посещает организации дополнительного образования для детей (внешкольные организации) [7270] / Способ оплаты [72702]</t>
  </si>
  <si>
    <t>Участие в соревнованиях, конкурсах и олимпиадах [6759] / Вид мероприятия [76308]</t>
  </si>
  <si>
    <t>Участие в соревнованиях, конкурсах и олимпиадах [6759] / Вид направления [76309]</t>
  </si>
  <si>
    <t>Участие в соревнованиях, конкурсах и олимпиадах [6759] / Уровень мероприятия [76310]</t>
  </si>
  <si>
    <t>Участие в соревнованиях, конкурсах и олимпиадах [6759] / Награда [76312]</t>
  </si>
  <si>
    <t>Участие в соревнованиях, конкурсах и олимпиадах [6759] / Дата участия [76663]</t>
  </si>
  <si>
    <t>Охвачен летним отдыхом [6957]</t>
  </si>
  <si>
    <t>Сведения о летнем отдыхе [6958] / Период  [76484]</t>
  </si>
  <si>
    <t>Сведения о летнем отдыхе [6958] / Питание [76485]</t>
  </si>
  <si>
    <t>Сведения о летнем отдыхе [6958] / Место прохождения [76486]</t>
  </si>
  <si>
    <t>Состоит на учете [6959]</t>
  </si>
  <si>
    <t>Состоит на внутришкольном учете [6428]</t>
  </si>
  <si>
    <t>С девиантным поведением [6960]</t>
  </si>
  <si>
    <t>Ребенок - сирота [251]</t>
  </si>
  <si>
    <t>Ребенок, оставшийся без попечения родителей [258]</t>
  </si>
  <si>
    <t>Ребенок из неблагополучной семьи [258_1]</t>
  </si>
  <si>
    <t>Сведения о здоровье [health_info_01] / Дата постановки на учет больного [patient_dt_beg]</t>
  </si>
  <si>
    <t>Сведения о здоровье [health_info_01] / Дата снятия с учета больного [patient_dt_end]</t>
  </si>
  <si>
    <t>Сведения о здоровье [health_info_01] / Вид заболевания [disease]</t>
  </si>
  <si>
    <t>Сведения о здоровье [health_info_01] / Медицинская организация ведущая диспансерное наблюдение [medical_organization]</t>
  </si>
  <si>
    <t>Сведения о здоровье [health_info_01] / Регион регистрации больного [patient_region]</t>
  </si>
  <si>
    <t>Дети с инвалидностью и/или лица с инвалидностью [253]</t>
  </si>
  <si>
    <t>Дата установления инвалидности [7184]</t>
  </si>
  <si>
    <t>Медицинская карта [student_medical_card]</t>
  </si>
  <si>
    <t>Первичное нарушение [primary_violation]</t>
  </si>
  <si>
    <t>Сопутствующий вид нарушения [5783]</t>
  </si>
  <si>
    <t>Особые образовательные потребности [special_educational_need]</t>
  </si>
  <si>
    <t>№ заключения ПМПК (до 18 лет)/ВКК (старше 18 лет) [6980]</t>
  </si>
  <si>
    <t>№ заключения ПМПК (до 18 лет)/ВКК (старше 18 лет) [conclusion_number]</t>
  </si>
  <si>
    <t>Дата заключения [6981]</t>
  </si>
  <si>
    <t>Дата заключения [conclusion_date]</t>
  </si>
  <si>
    <t>Охвачен занятиями физкультуры и спорта в специальных медицинских группах [6424]</t>
  </si>
  <si>
    <t>Посещает логопедический пункт [6314]</t>
  </si>
  <si>
    <t>Обучается  в специальных классах [5799]</t>
  </si>
  <si>
    <t>Получатель адресной социальной помощи [7064]</t>
  </si>
  <si>
    <t>Уровень прожиточного минимума [7285]</t>
  </si>
  <si>
    <t>Относится к категории граждан, которым оказывается финансовая и материальная помощь [6640]</t>
  </si>
  <si>
    <t>Оказана помощь [assistance_provided]</t>
  </si>
  <si>
    <t>За счет средств [at_the_expense_of_funds]</t>
  </si>
  <si>
    <t>Из многодетной семьи [7822]</t>
  </si>
  <si>
    <t>Претендент на награждение знаком «Алтын белгі» [6657]</t>
  </si>
  <si>
    <t>Подтвердил знак «Алтын белгі» [6656]</t>
  </si>
  <si>
    <t>Выпущен [5833]</t>
  </si>
  <si>
    <t>Выпущен [5833_input_text]</t>
  </si>
  <si>
    <t>Серия аттестата [5723]</t>
  </si>
  <si>
    <t>Серия аттестата [5723_input_text]</t>
  </si>
  <si>
    <t>Номер аттестата [5873]</t>
  </si>
  <si>
    <t>Дата выдачи аттестата [5724]</t>
  </si>
  <si>
    <t>Регистрационный номер аттестата [reg_number]</t>
  </si>
  <si>
    <t>Приложение к аттестату [annex_certificate]</t>
  </si>
  <si>
    <t>Предметы для аттестатов [table_certificate] / Предмет [grades_subject]</t>
  </si>
  <si>
    <t>Предметы для аттестатов [table_certificate] / Оценка [grades_count]</t>
  </si>
  <si>
    <t>Предметы для аттестатов [table_certificate_bt1] / Предмет [grades_subject_bt1]</t>
  </si>
  <si>
    <t>Предметы для аттестатов [table_certificate_bt1] / Оценка [grades_count]</t>
  </si>
  <si>
    <t>Предметы для аттестатов [table_certificate_bt2] / Предмет [grades_subject_bt2]</t>
  </si>
  <si>
    <t>Предметы для аттестатов [table_certificate_bt2] / Оценка [grades_count]</t>
  </si>
  <si>
    <t>Предметы для аттестатов [table_certificate_nm] / Предмет [grades_subject_nm]</t>
  </si>
  <si>
    <t>Предметы для аттестатов [table_certificate_nm] / Язык обучения [language_of_instruction]</t>
  </si>
  <si>
    <t>Предметы для аттестатов [table_certificate_nm] / Оценка [grades_count]</t>
  </si>
  <si>
    <t>Предметы для аттестатов [table_certificate_zhm] / Предмет [grades_subject_zhm]</t>
  </si>
  <si>
    <t>Предметы для аттестатов [table_certificate_zhm] / Язык обучения [language_of_instruction]</t>
  </si>
  <si>
    <t>Предметы для аттестатов [table_certificate_zhm] / Оценка [grades_count]</t>
  </si>
  <si>
    <t>Предметы для аттестатов [table_certificate_zhm] / Уровень изучения предмета [subject_level]</t>
  </si>
  <si>
    <t>Дополнительные предметы для аттестатов [table_certificate_additional] / Предмет [grades_subject_addition]</t>
  </si>
  <si>
    <t>Дополнительные предметы для аттестатов [table_certificate_additional] / Название предмета на русском [grades_subject_name]</t>
  </si>
  <si>
    <t>Дополнительные предметы для аттестатов [table_certificate_additional] / Название предмета на казахском [grades_subject_name_kk]</t>
  </si>
  <si>
    <t>Дополнительные предметы для аттестатов [table_certificate_additional] / Оценка [grades_count_addition]</t>
  </si>
  <si>
    <t>Дополнительные предметы для аттестатов [table_certificate_additional_nm] / Предмет [grades_subject_addition]</t>
  </si>
  <si>
    <t>Дополнительные предметы для аттестатов [table_certificate_additional_nm] / Название предмета на русском [grades_subject_name]</t>
  </si>
  <si>
    <t>Дополнительные предметы для аттестатов [table_certificate_additional_nm] / Название предмета на казахском [grades_subject_name_kk]</t>
  </si>
  <si>
    <t>Дополнительные предметы для аттестатов [table_certificate_additional_nm] / Язык обучения [language_of_instruction]</t>
  </si>
  <si>
    <t>Дополнительные предметы для аттестатов [table_certificate_additional_nm] / Оценка [grades_count]</t>
  </si>
  <si>
    <t>Дополнительные предметы для аттестатов [table_certificate_additional_zhm] / Предмет [grades_subject_addition]</t>
  </si>
  <si>
    <t>Дополнительные предметы для аттестатов [table_certificate_additional_zhm] / Название предмета на русском [grades_subject_name]</t>
  </si>
  <si>
    <t>Дополнительные предметы для аттестатов [table_certificate_additional_zhm] / Название предмета на казахском [grades_subject_name_kk]</t>
  </si>
  <si>
    <t>Дополнительные предметы для аттестатов [table_certificate_additional_zhm] / Язык обучения [language_of_instruction]</t>
  </si>
  <si>
    <t>Дополнительные предметы для аттестатов [table_certificate_additional_zhm] / Оценка [grades_count]</t>
  </si>
  <si>
    <t>Дополнительные предметы для аттестатов [table_certificate_additional_zhm] / Уровень изучения предмета [subject_level]</t>
  </si>
  <si>
    <t>Средний балл аттестата [table_certificate_gpa]</t>
  </si>
  <si>
    <t>Лист ответов итоговой аттестации обучающихся 11 (12) класса [answer_sheet_final_11]</t>
  </si>
  <si>
    <t>Заявление на единое национальное тестирование [app_ent]</t>
  </si>
  <si>
    <t>Заявление на конкурс по присуждению образовательного гранта [app_grant]</t>
  </si>
  <si>
    <t>Сертификат единого национального тестирования [certificate_ent]</t>
  </si>
  <si>
    <t>Сертификата комплексного тестирования абитуриента [certificate_complex_test]</t>
  </si>
  <si>
    <t>Дата выбытия [269]</t>
  </si>
  <si>
    <t>Номер приказа выбытия [5673]</t>
  </si>
  <si>
    <t>Причина выбытия [268]</t>
  </si>
  <si>
    <t>Трудоустройство [5881]</t>
  </si>
  <si>
    <t>Страна выбытия [6776]</t>
  </si>
  <si>
    <t>Дата трудоустройства [employment_date]</t>
  </si>
  <si>
    <t>Профессия [employment_profession]</t>
  </si>
  <si>
    <t>Общий классификатор видов экономической деятельности [employment_oked]</t>
  </si>
  <si>
    <t>Форма собственности организации трудоустройства [employment_type_of_ownership]</t>
  </si>
  <si>
    <t>Учебный год [ed_year]</t>
  </si>
  <si>
    <t>Индивидуальный код тестирования [test_id]</t>
  </si>
  <si>
    <t>Серия свидетельства [svid_series]</t>
  </si>
  <si>
    <t>Номер свидетельства [svid_number]</t>
  </si>
  <si>
    <t>Дата выдачи свидетельства [svid_date]</t>
  </si>
  <si>
    <t>№ Приказа (грант) [grant_order_number]</t>
  </si>
  <si>
    <t>Дата приказа Приказа (грант) [grant_order_date]</t>
  </si>
  <si>
    <t>Номер и наименование ГОП (грант) [education_program]</t>
  </si>
  <si>
    <t>Наименование ВУЗа (грант) [university_name]</t>
  </si>
  <si>
    <t>Форма обучения (очная/очная сокращенная) [study_form]</t>
  </si>
  <si>
    <t>Квота и вид гранта [gtant_type]</t>
  </si>
  <si>
    <t>Сведения об ЕНТ [entinfo] / Номер сертификата [entinfo_number]</t>
  </si>
  <si>
    <t>Сведения об ЕНТ [entinfo] / Индивидуальный код тестируемого [entinfo_individual_code]</t>
  </si>
  <si>
    <t>Сведения об ЕНТ [entinfo] / Дата тестирования [entinfo_date]</t>
  </si>
  <si>
    <t>Сведения об ЕНТ [entinfo] / Год тестирования [entinfo_year]</t>
  </si>
  <si>
    <t>Сведения об ЕНТ [entinfo] / ЕНТ для участия в гранте/ платной основе [entinfo_period]</t>
  </si>
  <si>
    <t>Сведения об ЕНТ [entinfo] / Тип тестирования (Форма обучения) [entinfo_type]</t>
  </si>
  <si>
    <t>Сведения об ЕНТ [entinfo] / Количество предметов [is_change_cnt_subj]</t>
  </si>
  <si>
    <t>Сведения об ЕНТ [entinfo] / Язык сдачи тестирования [ent_lang]</t>
  </si>
  <si>
    <t>Сведения об ЕНТ [entinfo] / БИН ОО на момент сдачи ЕНТ [school_bin]</t>
  </si>
  <si>
    <t>Сведения об ЕНТ [entinfo] / ИД регионального центра тестирования [test_org_id]</t>
  </si>
  <si>
    <t>Количество набранных баллов по сертификату [score] / Номер сертификата [entinfo_number]</t>
  </si>
  <si>
    <t>Количество набранных баллов по сертификату [score] / Индивидуальный код тестируемого [entinfo_individual_code]</t>
  </si>
  <si>
    <t>Количество набранных баллов по сертификату [score] / Порядковый номер предметов/дисциплин [order]</t>
  </si>
  <si>
    <t>Количество набранных баллов по сертификату [score] / Тип предмета/дисциплины [subject_type]</t>
  </si>
  <si>
    <t>Количество набранных баллов по сертификату [score] / Наименование предмета/дисциплины [subject_id]</t>
  </si>
  <si>
    <t>Количество набранных баллов по сертификату [score] / Балл предмета/дисциплины [total_score]</t>
  </si>
  <si>
    <t>Количество набранных баллов по сертификату [score] / Язык сдачи предмета/дисциплины ЕНТ [lang_id]</t>
  </si>
  <si>
    <t>Количество набранных баллов по сертификату [score] / Дата сдачи ЕНТ [entinfo_date]</t>
  </si>
  <si>
    <t>Был творческий экзамен? [entinfo_creative]</t>
  </si>
  <si>
    <t>Номер и наименование творческого ГОП [edu_program_code]</t>
  </si>
  <si>
    <t>Тип тестирования (Форма обучения) [entinfo_type]</t>
  </si>
  <si>
    <t>Наименование ВУЗа, в котором сдан творческий экзамен [university_bin]</t>
  </si>
  <si>
    <t>Результат творческого экзамена [creative_exam] / Дата тестирования [date_exam]</t>
  </si>
  <si>
    <t>Результат творческого экзамена [creative_exam] / Порядковый номер творческих экзаменов [order]</t>
  </si>
  <si>
    <t>Результат творческого экзамена [creative_exam] / Наименование предмета/дисциплины [subject_id]</t>
  </si>
  <si>
    <t>Результат творческого экзамена [creative_exam] / Балл [ball]</t>
  </si>
  <si>
    <t>Был специальный экзамен? [entinfo_special]</t>
  </si>
  <si>
    <t>Результат специального экзамена [spec_exam] / Дата экзамена [date_exam]</t>
  </si>
  <si>
    <t>Результат специального экзамена [spec_exam] / Область специального экзамена [exam_area]</t>
  </si>
  <si>
    <t>Результат специального экзамена [spec_exam] / Допуск? [exam_result]</t>
  </si>
  <si>
    <t>Было тестирование по английскому языку? [entinfo_english]</t>
  </si>
  <si>
    <t>Результат экзамен по английскому языку [english_exam] / Дата тестирования [date_exam]</t>
  </si>
  <si>
    <t>Результат экзамен по английскому языку [english_exam] / Балл [ball]</t>
  </si>
  <si>
    <t>Дата тестирования ВОУД [voud_date]</t>
  </si>
  <si>
    <t>Результат тестирования ВОУД [voud_score]</t>
  </si>
  <si>
    <t>Наличие заявки с eGOV [7296]</t>
  </si>
  <si>
    <t>Табель [7181] / Дисциплины [71810]</t>
  </si>
  <si>
    <t>Табель [7181] / 1 четверть [71811]</t>
  </si>
  <si>
    <t>Табель [7181] / 2 четверть [71812]</t>
  </si>
  <si>
    <t>Табель [7181] / 1 полугодие [71813]</t>
  </si>
  <si>
    <t>Табель [7181] / 3 четверть [71814]</t>
  </si>
  <si>
    <t>Табель [7181] / 4 четверть [71815]</t>
  </si>
  <si>
    <t>Табель [7181] / 2 полугодие [71816]</t>
  </si>
  <si>
    <t>Табель [7181] / 1ый семестр [71817]</t>
  </si>
  <si>
    <t>Табель [7181] / 2ой семестр [71818]</t>
  </si>
  <si>
    <t>Табель [7181] / Годовая [71819]</t>
  </si>
  <si>
    <t>Табель [7181] / Учебный год [71820]</t>
  </si>
  <si>
    <t>Статус свидетельства грант [certificate_status_id]</t>
  </si>
  <si>
    <t>ИИН заявителя [requester_user_iin]</t>
  </si>
  <si>
    <t>Тип заявки [service_type]</t>
  </si>
  <si>
    <t>Фамилия заявителя [requester_user_surname]</t>
  </si>
  <si>
    <t>Имя заявителя [requester_user_name]</t>
  </si>
  <si>
    <t>Отчество заявителя [requester_user_middlename]</t>
  </si>
  <si>
    <t>Дата рождения заявителя [requester_user_birthday]</t>
  </si>
  <si>
    <t>Номер телефона заявителя [requester_user_telephone_number]</t>
  </si>
  <si>
    <t>e-mail заявителя [requester_user_email]</t>
  </si>
  <si>
    <t>Страна [requester_country]</t>
  </si>
  <si>
    <t>Область [requester_area]</t>
  </si>
  <si>
    <t>Район [requester_region]</t>
  </si>
  <si>
    <t>Населенный пункт [requester_city]</t>
  </si>
  <si>
    <t>Улица [requester_street]</t>
  </si>
  <si>
    <t>Дом [requester_house]</t>
  </si>
  <si>
    <t>Номер корпуса [requester_corpus_number]</t>
  </si>
  <si>
    <t>Номер квартиры [requester_flat]</t>
  </si>
  <si>
    <t>Тип документа [requester_doc_type]</t>
  </si>
  <si>
    <t>Номер [requester_doc_number]</t>
  </si>
  <si>
    <t>Серия [requester_doc_series]</t>
  </si>
  <si>
    <t>Дата выдачи [requester_doc_issuedate]</t>
  </si>
  <si>
    <t>Дата окончания срока [requester_doc_expirationdate]</t>
  </si>
  <si>
    <t>Орган выдачи на русском языке [requester_doc_organ_rname]</t>
  </si>
  <si>
    <t>Номер заявки ПЭП [external_request_id]</t>
  </si>
  <si>
    <t>Дата заявки [submission_date]</t>
  </si>
  <si>
    <t>Результат обработки [resolution_type]</t>
  </si>
  <si>
    <t>Тип заявления [request_form_accept_school_Type_applic]</t>
  </si>
  <si>
    <t>Категория заявителя [request_form_accept_school_user_category]</t>
  </si>
  <si>
    <t>Тип обучения [request_form_accept_school_Edu_type]</t>
  </si>
  <si>
    <t>Форма обучения [request_form_accept_school_edu_form]</t>
  </si>
  <si>
    <t>Желаемый язык обучения [request_form_accept_school_Language_info]</t>
  </si>
  <si>
    <t>Класс [request_form_accept_school_class_number]</t>
  </si>
  <si>
    <t>Учебный год [request_form_accept_school_academic_year]</t>
  </si>
  <si>
    <t>УЗ по микроучастку [request_form_accept_school_micro_area]</t>
  </si>
  <si>
    <t>Область [request_form_accept_school_area_code]</t>
  </si>
  <si>
    <t>Регион [request_form_accept_school_region_code]</t>
  </si>
  <si>
    <t>Населенный пункт [request_form_accept_school_location_code]</t>
  </si>
  <si>
    <t>Наименование учебного заведения на русском языке [request_form_accept_school_school_name_ru]</t>
  </si>
  <si>
    <t>Наименование Учебного заведения на казахском языке [request_form_accept_school_school_name_kk]</t>
  </si>
  <si>
    <t>имеется ли в организации услуга бесплатного подвоза детей [request_form_accept_school_child_transportation]</t>
  </si>
  <si>
    <t>получал ли ребенок профилактические прививки [request_form_accept_school_child_vaccinations]</t>
  </si>
  <si>
    <t>МУХАМБЕТЖАНОВА</t>
  </si>
  <si>
    <t>ЗИЯГУЛЬ</t>
  </si>
  <si>
    <t>ЕЛЮБАЕВНА</t>
  </si>
  <si>
    <t>женский</t>
  </si>
  <si>
    <t>КАЗАХСТАН</t>
  </si>
  <si>
    <t>Казахи</t>
  </si>
  <si>
    <t>Нет</t>
  </si>
  <si>
    <t>данного района (города, села)</t>
  </si>
  <si>
    <t>3 года и больше</t>
  </si>
  <si>
    <t>7 класс</t>
  </si>
  <si>
    <t>А</t>
  </si>
  <si>
    <t>Да</t>
  </si>
  <si>
    <t>общеобразовательного класса</t>
  </si>
  <si>
    <t>казахский</t>
  </si>
  <si>
    <t>очная</t>
  </si>
  <si>
    <t>нет</t>
  </si>
  <si>
    <t>ноутбук (личный)</t>
  </si>
  <si>
    <t>Личный</t>
  </si>
  <si>
    <t>[не нуждается]</t>
  </si>
  <si>
    <t>[самостоятельно добирается в школу]</t>
  </si>
  <si>
    <t>обеспечен данной школой</t>
  </si>
  <si>
    <t>[]</t>
  </si>
  <si>
    <t>3 - троечник</t>
  </si>
  <si>
    <t>Математика, Естествознание</t>
  </si>
  <si>
    <t>3, 3</t>
  </si>
  <si>
    <t>английский язык</t>
  </si>
  <si>
    <t>не изучает</t>
  </si>
  <si>
    <t>ИЗО, шитьё</t>
  </si>
  <si>
    <t>бесплатно, бесплатно</t>
  </si>
  <si>
    <t>Не участвовал(а)</t>
  </si>
  <si>
    <t>Июнь</t>
  </si>
  <si>
    <t>с питанием</t>
  </si>
  <si>
    <t>пришкольный оздоровительный лагерь</t>
  </si>
  <si>
    <t>Не состоит</t>
  </si>
  <si>
    <t>[нет]</t>
  </si>
  <si>
    <t>не обучается</t>
  </si>
  <si>
    <t>не относится ни к одной из указанных категорий</t>
  </si>
  <si>
    <t>БАЙСЕРИКОВА</t>
  </si>
  <si>
    <t>НАРГИЗ</t>
  </si>
  <si>
    <t>КАНАТОВНА</t>
  </si>
  <si>
    <t>стационарный компьютер (личный)</t>
  </si>
  <si>
    <t>4 - хорошист</t>
  </si>
  <si>
    <t>4, 4</t>
  </si>
  <si>
    <t>шитьё, ИЗО</t>
  </si>
  <si>
    <t>волейбольные</t>
  </si>
  <si>
    <t>бесплатно</t>
  </si>
  <si>
    <t>ЖИЕНБАЕВА</t>
  </si>
  <si>
    <t>АЛИНА</t>
  </si>
  <si>
    <t>РУСЛАНКЫЗЫ</t>
  </si>
  <si>
    <t>8 класс</t>
  </si>
  <si>
    <t>Математика, География</t>
  </si>
  <si>
    <t>4, 3</t>
  </si>
  <si>
    <t>нет (не посещает)</t>
  </si>
  <si>
    <t>Июнь, Июнь</t>
  </si>
  <si>
    <t>с питанием, с питанием</t>
  </si>
  <si>
    <t>пришкольный оздоровительный лагерь, внешколы в загородных оздоровительных лагерях</t>
  </si>
  <si>
    <t>ЕСКЕН</t>
  </si>
  <si>
    <t>НАЗЕРКЕ</t>
  </si>
  <si>
    <t>АРМАНҚЫЗЫ</t>
  </si>
  <si>
    <t>Ә</t>
  </si>
  <si>
    <t>Математика</t>
  </si>
  <si>
    <t>волейбольные, дебатные, ИЗО</t>
  </si>
  <si>
    <t>бесплатно, бесплатно, бесплатно</t>
  </si>
  <si>
    <t>МАЛИК</t>
  </si>
  <si>
    <t>ГУЛЬНАЗ</t>
  </si>
  <si>
    <t>АДИЛЕТҚЫЗЫ</t>
  </si>
  <si>
    <t>смартфон</t>
  </si>
  <si>
    <t>БАКИТЖАНОВ</t>
  </si>
  <si>
    <t>МАНСУР</t>
  </si>
  <si>
    <t>УАЛИХАНОВИЧ</t>
  </si>
  <si>
    <t>мужской</t>
  </si>
  <si>
    <t>борьба (все виды), футбольные</t>
  </si>
  <si>
    <t>ҚАЛИЖАН</t>
  </si>
  <si>
    <t>АМИРА</t>
  </si>
  <si>
    <t>ЕГЫНБАЙҚЫЗЫ</t>
  </si>
  <si>
    <t>ИМАНҒАЛИ</t>
  </si>
  <si>
    <t>МАҚПАЛ</t>
  </si>
  <si>
    <t>ЖАНАТҚЫЗЫ</t>
  </si>
  <si>
    <t>шитьё</t>
  </si>
  <si>
    <t>ИСМАГУЛОВ</t>
  </si>
  <si>
    <t>АЛИЖАН</t>
  </si>
  <si>
    <t>ЖЕНИСОВИЧ</t>
  </si>
  <si>
    <t>[охвачен(-а) горячим питанием, охвачен(-а) бесплатным горячим питанием]</t>
  </si>
  <si>
    <t>домбра, ИЗО</t>
  </si>
  <si>
    <t>платно, бесплатно</t>
  </si>
  <si>
    <t>иным категориям обучающихся и воспитанников, определяемым коллегиальным органом управления организации образования</t>
  </si>
  <si>
    <t>[Не оказана помощь]</t>
  </si>
  <si>
    <t>НӘҚЫП</t>
  </si>
  <si>
    <t>МӘЛІК</t>
  </si>
  <si>
    <t>ҚАЙРАТҰЛЫ</t>
  </si>
  <si>
    <t>2 года</t>
  </si>
  <si>
    <t>5, 3</t>
  </si>
  <si>
    <t>национальные игры</t>
  </si>
  <si>
    <t>[Нарушения речи , Тяжелые нарушения речи ]</t>
  </si>
  <si>
    <t>ЕРҒОЖА</t>
  </si>
  <si>
    <t>АЙЗЕРЕ</t>
  </si>
  <si>
    <t>ТЛЕУБАЙҚЫЗЫ</t>
  </si>
  <si>
    <t>Математика, География, Информатика</t>
  </si>
  <si>
    <t>4, 5, 4</t>
  </si>
  <si>
    <t>дебатные</t>
  </si>
  <si>
    <t>ТЕМІРБОЛАТ</t>
  </si>
  <si>
    <t>АРСЕН</t>
  </si>
  <si>
    <t>ЖАНБОТАҰЛЫ</t>
  </si>
  <si>
    <t>Математика, Информатика</t>
  </si>
  <si>
    <t>4, 5</t>
  </si>
  <si>
    <t>футбольные</t>
  </si>
  <si>
    <t>ЕСІМБЕК</t>
  </si>
  <si>
    <t>АЯН</t>
  </si>
  <si>
    <t>АЙБАРҰЛЫ</t>
  </si>
  <si>
    <t>5 - отличник</t>
  </si>
  <si>
    <t>5, 5</t>
  </si>
  <si>
    <t>домбра, футбольные</t>
  </si>
  <si>
    <t>САПАРБЕК</t>
  </si>
  <si>
    <t>САНЖАР</t>
  </si>
  <si>
    <t>ДИАСҰЛЫ</t>
  </si>
  <si>
    <t>борьба (все виды), другие спортивные</t>
  </si>
  <si>
    <t>ӘМІРЖАН</t>
  </si>
  <si>
    <t>АДИЯ</t>
  </si>
  <si>
    <t>ЖУМАБЕКҚЫЗЫ</t>
  </si>
  <si>
    <t>9 класс</t>
  </si>
  <si>
    <t>Математика, География, Информатика, Физика, Химия, Биология</t>
  </si>
  <si>
    <t>5, 5, 5, 5, 5, 5</t>
  </si>
  <si>
    <t>Июль</t>
  </si>
  <si>
    <t>бригады по озеленению и благоустройству</t>
  </si>
  <si>
    <t>КАИРБЕК</t>
  </si>
  <si>
    <t>НҰРАСЛАН</t>
  </si>
  <si>
    <t>ДАУЛЕТБЕКҰЛЫ</t>
  </si>
  <si>
    <t>4, 4, 4, 4, 4, 4</t>
  </si>
  <si>
    <t>ШОРТАНБЕК</t>
  </si>
  <si>
    <t>АЙБЕК</t>
  </si>
  <si>
    <t>РУСЛАНҰЛЫ</t>
  </si>
  <si>
    <t>баскетбольные, волейбольные</t>
  </si>
  <si>
    <t>ЕРҒАЛИ</t>
  </si>
  <si>
    <t>МАДИЯР</t>
  </si>
  <si>
    <t>АМАНГЕЛДІҰЛЫ</t>
  </si>
  <si>
    <t>робототехника, волейбольные</t>
  </si>
  <si>
    <t>БЕКЕН</t>
  </si>
  <si>
    <t>НАРГИЗА</t>
  </si>
  <si>
    <t>ЖАНГАЗЫҚЫЗЫ</t>
  </si>
  <si>
    <t>Дизайн одежды</t>
  </si>
  <si>
    <t>СМАГУЛОВА</t>
  </si>
  <si>
    <t>ЗЕРЕ</t>
  </si>
  <si>
    <t>МУХАМЕДКЫЗЫ</t>
  </si>
  <si>
    <t>дебатные, шитьё</t>
  </si>
  <si>
    <t>ЕСЕНГЕЛДІ</t>
  </si>
  <si>
    <t>АЙДАНА</t>
  </si>
  <si>
    <t>АСХАТҚЫЗЫ</t>
  </si>
  <si>
    <t>ТӨЛЕГЕН</t>
  </si>
  <si>
    <t>НУРӘДІЛ</t>
  </si>
  <si>
    <t>ЕРБОЛАТҰЛЫ</t>
  </si>
  <si>
    <t>[проживает в интернате при школе]</t>
  </si>
  <si>
    <t>[охвачен подвозом (в неделю 1-2 раза)]</t>
  </si>
  <si>
    <t>теннис, футбольные</t>
  </si>
  <si>
    <t>МҰХАМЕДҒАЛИҚЫЗЫ</t>
  </si>
  <si>
    <t>АЖАР</t>
  </si>
  <si>
    <t>национальные игры, шитьё</t>
  </si>
  <si>
    <t>эстрадный вокал, волейбольные</t>
  </si>
  <si>
    <t>БАЛТАБАЙ</t>
  </si>
  <si>
    <t>НҮРӘДІЛ</t>
  </si>
  <si>
    <t>СЕМБІҰЛЫ</t>
  </si>
  <si>
    <t>МАДИНА</t>
  </si>
  <si>
    <t>РАМАЗАНҚЫЗЫ</t>
  </si>
  <si>
    <t>ХАИРБОЛДЫ</t>
  </si>
  <si>
    <t>ДАЯНА</t>
  </si>
  <si>
    <t>МУХАМЕДҚЫЗЫ</t>
  </si>
  <si>
    <t>БУЛАТ</t>
  </si>
  <si>
    <t>АРУЖАН</t>
  </si>
  <si>
    <t>РУСТАМҚЫЗЫ</t>
  </si>
  <si>
    <t>КАИРГЕЛЬДИН</t>
  </si>
  <si>
    <t>МАДИ</t>
  </si>
  <si>
    <t>БАУЫРЖАНОВИЧ</t>
  </si>
  <si>
    <t>3, 3, 3, 3, 3, 3</t>
  </si>
  <si>
    <t>баскетбольные</t>
  </si>
  <si>
    <t>ЕСЕНҰЛЫ</t>
  </si>
  <si>
    <t>НҰРТАС</t>
  </si>
  <si>
    <t>МӘЖИТ</t>
  </si>
  <si>
    <t>НҰРАЛИ</t>
  </si>
  <si>
    <t>НҰРТАСҰЛЫ</t>
  </si>
  <si>
    <t>ИЗО, футбольные</t>
  </si>
  <si>
    <t>КУМАРОВА</t>
  </si>
  <si>
    <t>АЯНА</t>
  </si>
  <si>
    <t>КЗЫЛАСКЕРОВНА</t>
  </si>
  <si>
    <t>6 класс</t>
  </si>
  <si>
    <t>3, 4</t>
  </si>
  <si>
    <t>ИЗО</t>
  </si>
  <si>
    <t>ГАЛИМЖАНОВ</t>
  </si>
  <si>
    <t>РАСУЛ</t>
  </si>
  <si>
    <t>МУРАТОВИЧ</t>
  </si>
  <si>
    <t>робототехника</t>
  </si>
  <si>
    <t>[Финансовая помощь]</t>
  </si>
  <si>
    <t>МБ</t>
  </si>
  <si>
    <t>МЫРЗАГАЛИ</t>
  </si>
  <si>
    <t>СЕРІКҰЛЫ</t>
  </si>
  <si>
    <t>не посещал</t>
  </si>
  <si>
    <t>АМАНТАЙ</t>
  </si>
  <si>
    <t>ЖАНСАЯ</t>
  </si>
  <si>
    <t>СЕРІКҚЫЗЫ</t>
  </si>
  <si>
    <t>САҒЫНДЫҚ</t>
  </si>
  <si>
    <t>АЛИХАН</t>
  </si>
  <si>
    <t>ҚАЙСАРҰЛЫ</t>
  </si>
  <si>
    <t>УЛАТАЙ</t>
  </si>
  <si>
    <t>ІНЖУ</t>
  </si>
  <si>
    <t>БАХЫТҚЫЗЫ</t>
  </si>
  <si>
    <t>эстрадный вокал</t>
  </si>
  <si>
    <t>платно</t>
  </si>
  <si>
    <t>ДАМИР</t>
  </si>
  <si>
    <t>ЕГЫНБАЙҰЛЫ</t>
  </si>
  <si>
    <t>планшет (личный)</t>
  </si>
  <si>
    <t>Математика, Естествознание, Информатика</t>
  </si>
  <si>
    <t>3, 4, 4</t>
  </si>
  <si>
    <t>борьба (все виды)</t>
  </si>
  <si>
    <t>УАЛИЕВ</t>
  </si>
  <si>
    <t>ЖАНДОС</t>
  </si>
  <si>
    <t>МЫРЗАТАЕВИЧ</t>
  </si>
  <si>
    <t>Кружок домбры</t>
  </si>
  <si>
    <t>[Нарушения речи , Легкие нарушения речи  ]</t>
  </si>
  <si>
    <t>МАНСҰР</t>
  </si>
  <si>
    <t>ТЛЕУБАЙҰЛЫ</t>
  </si>
  <si>
    <t>ОРАЗАЛЫ</t>
  </si>
  <si>
    <t>ДИЯРӘЛІ</t>
  </si>
  <si>
    <t>БАҚЫТЖАНҰЛЫ</t>
  </si>
  <si>
    <t>ХУАНЫШ</t>
  </si>
  <si>
    <t>ИБРАҺИМ</t>
  </si>
  <si>
    <t>ЕРБОЛҰЛЫ</t>
  </si>
  <si>
    <t>другие спортивные</t>
  </si>
  <si>
    <t>НАУРЫЗ</t>
  </si>
  <si>
    <t>АЙШАТ</t>
  </si>
  <si>
    <t>МЕЛИКСҚЫЗЫ</t>
  </si>
  <si>
    <t>4, 4, 4</t>
  </si>
  <si>
    <t>CӘБЕТХАН</t>
  </si>
  <si>
    <t>ҚАЖЫМҰҚАН</t>
  </si>
  <si>
    <t>ЕКПІНҰЛЫ</t>
  </si>
  <si>
    <t>домбра, эстрадный вокал, футбольные, другие спортивные</t>
  </si>
  <si>
    <t>платно, платно, бесплатно, бесплатно</t>
  </si>
  <si>
    <t>АВАЙ</t>
  </si>
  <si>
    <t>АЛТЫНБЕК</t>
  </si>
  <si>
    <t>АВАЙҰЛЫ</t>
  </si>
  <si>
    <t>ҚҰРМАНҒОЖА</t>
  </si>
  <si>
    <t>ДИМАШ</t>
  </si>
  <si>
    <t>ӘСЕТҰЛЫ</t>
  </si>
  <si>
    <t>ДӘУРЕНБАЙ</t>
  </si>
  <si>
    <t>НҰРДӘУЛЕТ</t>
  </si>
  <si>
    <t>НҰРЛЫБЕКҰЛЫ</t>
  </si>
  <si>
    <t>4, 5, 4, 4, 4, 4</t>
  </si>
  <si>
    <t>ЖАНАЛИН</t>
  </si>
  <si>
    <t>НУРЛЫХАН</t>
  </si>
  <si>
    <t>МАРАТОВИЧ</t>
  </si>
  <si>
    <t>художественная обработка дерева, футбольные</t>
  </si>
  <si>
    <t>ИМАМУТДИНОВ</t>
  </si>
  <si>
    <t>АРТЕМ</t>
  </si>
  <si>
    <t>ВЛАДИМИРОВИЧ</t>
  </si>
  <si>
    <t>Русские</t>
  </si>
  <si>
    <t>3, 3, 4, 3, 3, 3</t>
  </si>
  <si>
    <t>КАЖЫМҰРАТ</t>
  </si>
  <si>
    <t>ЯСМИН</t>
  </si>
  <si>
    <t>БАУРЖАНҚЫЗЫ</t>
  </si>
  <si>
    <t>ҚАЙРОЛЛА</t>
  </si>
  <si>
    <t>АЛИЯ</t>
  </si>
  <si>
    <t>ЖОМАРТҚЫЗЫ</t>
  </si>
  <si>
    <t>НУРМУХАМЕДОВА</t>
  </si>
  <si>
    <t>РУСЛАНОВНА</t>
  </si>
  <si>
    <t>Математика, География, Информатика, Химия, Физика, Биология</t>
  </si>
  <si>
    <t>КРОВЯКОВА</t>
  </si>
  <si>
    <t>СЕРГЕЕВНА</t>
  </si>
  <si>
    <t>кобыз, эстрадный вокал</t>
  </si>
  <si>
    <t>платно, платно</t>
  </si>
  <si>
    <t>ҚАБДИН</t>
  </si>
  <si>
    <t>МЕЙРХАН</t>
  </si>
  <si>
    <t>МЕЙРЛАНҰЛЫ</t>
  </si>
  <si>
    <t>БЕЛЬГУМБАЕВ</t>
  </si>
  <si>
    <t>ТОЛЕГЕН</t>
  </si>
  <si>
    <t>АМАНГЕЛЬДИНОВИЧ</t>
  </si>
  <si>
    <t>домбра, бумагопластика</t>
  </si>
  <si>
    <t>АЙЫМ</t>
  </si>
  <si>
    <t>НУРЛЫБЕКҚЫЗЫ</t>
  </si>
  <si>
    <t>1 год и меньше</t>
  </si>
  <si>
    <t>дебатные, волейбольные</t>
  </si>
  <si>
    <t>СӘБИТ</t>
  </si>
  <si>
    <t>АЛИЯР</t>
  </si>
  <si>
    <t>домбра, эстрадный вокал</t>
  </si>
  <si>
    <t>ӘСКЕР</t>
  </si>
  <si>
    <t>ЖӘНЕЛ</t>
  </si>
  <si>
    <t>ҚАНАТҚЫЗЫ</t>
  </si>
  <si>
    <t>НУРМУХАМЕД</t>
  </si>
  <si>
    <t>МЕРЕЙ</t>
  </si>
  <si>
    <t>РУСЛАНҚЫЗЫ</t>
  </si>
  <si>
    <t>ХАБЫЛДЫ</t>
  </si>
  <si>
    <t>ӘДЕМІ</t>
  </si>
  <si>
    <t>МИГАШҚЫЗЫ</t>
  </si>
  <si>
    <t>ИМАН</t>
  </si>
  <si>
    <t>ЖАНБЕК</t>
  </si>
  <si>
    <t>ЕРКЕЖАН</t>
  </si>
  <si>
    <t>САЙРАНБЕКҚЫЗЫ</t>
  </si>
  <si>
    <t>НАРУЗБАЙ</t>
  </si>
  <si>
    <t>ҰЛАН</t>
  </si>
  <si>
    <t>НҰРБЕКҰЛЫ</t>
  </si>
  <si>
    <t>МАНАРБЕКҚЫЗЫ</t>
  </si>
  <si>
    <t>национальные игры, дебатные</t>
  </si>
  <si>
    <t>теннис</t>
  </si>
  <si>
    <t>ЖОЛДЫБЕК</t>
  </si>
  <si>
    <t>АЙДЫН</t>
  </si>
  <si>
    <t>ЖАНАТҰЛЫ</t>
  </si>
  <si>
    <t>4, 5, 5</t>
  </si>
  <si>
    <t>АРСЛАН</t>
  </si>
  <si>
    <t>СЕРІК</t>
  </si>
  <si>
    <t>ЖАНАЛИ</t>
  </si>
  <si>
    <t>ЖЕҢІСҰЛЫ</t>
  </si>
  <si>
    <t>БІРЖАН</t>
  </si>
  <si>
    <t>МҰХАММЕД</t>
  </si>
  <si>
    <t>ЕРСЫНҰЛЫ</t>
  </si>
  <si>
    <t>ГАЛИЖАНОВ</t>
  </si>
  <si>
    <t>ДИАС</t>
  </si>
  <si>
    <t>АЙБЕКОВИЧ</t>
  </si>
  <si>
    <t>футбольные, футбольные</t>
  </si>
  <si>
    <t>ЖАСҰЛАН</t>
  </si>
  <si>
    <t>АНЕЛЯ</t>
  </si>
  <si>
    <t>ИДОЯТ</t>
  </si>
  <si>
    <t>БАЙЖІГІТҚЫЗЫ</t>
  </si>
  <si>
    <t>ниже черты бедности</t>
  </si>
  <si>
    <t>МАҒАНАУИ</t>
  </si>
  <si>
    <t>НҰРАЙ</t>
  </si>
  <si>
    <t>ӘДІЛЕТҚЫЗЫ</t>
  </si>
  <si>
    <t>ТОКЕН</t>
  </si>
  <si>
    <t>МЕИРХАТ</t>
  </si>
  <si>
    <t>РАХАТОВИЧ</t>
  </si>
  <si>
    <t>3, 3, 4</t>
  </si>
  <si>
    <t>МЕЙРАМОВА</t>
  </si>
  <si>
    <t>АСЫЛХАНОВНА</t>
  </si>
  <si>
    <t>театральный , теннис</t>
  </si>
  <si>
    <t>НҰРӘЛІ</t>
  </si>
  <si>
    <t>АУБАКИРОВ</t>
  </si>
  <si>
    <t>ЖУМАЛИ</t>
  </si>
  <si>
    <t>АЛПЫСОВИЧ</t>
  </si>
  <si>
    <t>ЖАЗИРА</t>
  </si>
  <si>
    <t>НҰРЛЫБЕКҚЫЗЫ</t>
  </si>
  <si>
    <t>ЕРДЕН</t>
  </si>
  <si>
    <t>АЛТЫНБЕКОВА</t>
  </si>
  <si>
    <t>ТУГАНАЙ</t>
  </si>
  <si>
    <t>ЖАНДОСОВНА</t>
  </si>
  <si>
    <t>другого района (города) данной области</t>
  </si>
  <si>
    <t>ОРКЕНБАЙ</t>
  </si>
  <si>
    <t>АҚСҰНҚАР</t>
  </si>
  <si>
    <t>кобыз</t>
  </si>
  <si>
    <t>[Нарушения речи , Задержка психического развития , Тяжелые нарушения речи ]</t>
  </si>
  <si>
    <t>ӘБДІКӘРІМ</t>
  </si>
  <si>
    <t>НҰРҒОЖА</t>
  </si>
  <si>
    <t>НҰРДАУЛЕТ</t>
  </si>
  <si>
    <t>ЖАНАРБЕКҰЛЫ</t>
  </si>
  <si>
    <t>домбра</t>
  </si>
  <si>
    <t>АДАЛБЕК</t>
  </si>
  <si>
    <t>БАЙЖІГІТҰЛЫ</t>
  </si>
  <si>
    <t>5 класс</t>
  </si>
  <si>
    <t>ӨНЕР</t>
  </si>
  <si>
    <t>АДАЛБЕКҰЛЫ</t>
  </si>
  <si>
    <t>борьба (все виды), театральный , футбольные</t>
  </si>
  <si>
    <t>НҰРЖАН</t>
  </si>
  <si>
    <t>МАХСАТҚЫЗЫ</t>
  </si>
  <si>
    <t>АЙАРУ</t>
  </si>
  <si>
    <t>дебатные, ИЗО</t>
  </si>
  <si>
    <t>эстрадный вокал, театральный</t>
  </si>
  <si>
    <t>МЕЙРАНБЕКҰЛЫ</t>
  </si>
  <si>
    <t>АХМЕТ</t>
  </si>
  <si>
    <t>театральный , футбольные</t>
  </si>
  <si>
    <t>БІРІМЖАН</t>
  </si>
  <si>
    <t>ИСХАН</t>
  </si>
  <si>
    <t>БАУРЖАНҰЛЫ</t>
  </si>
  <si>
    <t>5, 4</t>
  </si>
  <si>
    <t>домбра, театральный , другие спортивные</t>
  </si>
  <si>
    <t>платно, бесплатно, бесплатно</t>
  </si>
  <si>
    <t>БАҚЫТЖАН</t>
  </si>
  <si>
    <t>ӘМІР</t>
  </si>
  <si>
    <t>УАЛИХАНҰЛЫ</t>
  </si>
  <si>
    <t>[Нарушения речи , Задержка психического развития ]</t>
  </si>
  <si>
    <t>ЖУЗБАЙ</t>
  </si>
  <si>
    <t>ӘМИР</t>
  </si>
  <si>
    <t>СЕРЕКБАЙҰЛЫ</t>
  </si>
  <si>
    <t>АЙКҮНІМ</t>
  </si>
  <si>
    <t>театральный , ИЗО</t>
  </si>
  <si>
    <t>УРАЗБАЕВА</t>
  </si>
  <si>
    <t>ЖАНЕЛЬ</t>
  </si>
  <si>
    <t>КАЗИЗОВНА</t>
  </si>
  <si>
    <t>кобыз, театральный</t>
  </si>
  <si>
    <t>ЕСЕНҚЫЗЫ</t>
  </si>
  <si>
    <t>АЛТЫНТАС</t>
  </si>
  <si>
    <t>ЖҮРСІН</t>
  </si>
  <si>
    <t>ІҢКӘР</t>
  </si>
  <si>
    <t>МИРАМҚЫЗЫ</t>
  </si>
  <si>
    <t>ХАЙРАТБАЙ</t>
  </si>
  <si>
    <t>МӘРИЯМ</t>
  </si>
  <si>
    <t>Конкурс</t>
  </si>
  <si>
    <t>Творческое</t>
  </si>
  <si>
    <t>На уровне данной организации</t>
  </si>
  <si>
    <t>Грамота</t>
  </si>
  <si>
    <t>2019-03-13T00:00:00</t>
  </si>
  <si>
    <t>АСКЕРОВА</t>
  </si>
  <si>
    <t>ЕРБОЛАТОВНА</t>
  </si>
  <si>
    <t>гимназического класса</t>
  </si>
  <si>
    <t>САНСЫЗБАЙ</t>
  </si>
  <si>
    <t>НАЗГҮЛ</t>
  </si>
  <si>
    <t>МҰРАТҚЫЗЫ</t>
  </si>
  <si>
    <t>4, 5, 4, 4, 5, 4</t>
  </si>
  <si>
    <t>АҚЕРКЕ</t>
  </si>
  <si>
    <t>НҰРСҰЛТАНҚЫЗЫ</t>
  </si>
  <si>
    <t>КӨКШЕ</t>
  </si>
  <si>
    <t>ОРАЗҚЫЗЫ</t>
  </si>
  <si>
    <t>ТАСБЕРГЕНОВ</t>
  </si>
  <si>
    <t>ШАХНАЗАР</t>
  </si>
  <si>
    <t>БАГЛАНҰЛЫ</t>
  </si>
  <si>
    <t>4, 4, 4, 4, 3, 4</t>
  </si>
  <si>
    <t>ЕРАСЫЛ</t>
  </si>
  <si>
    <t>МЕЙРАМҰЛЫ</t>
  </si>
  <si>
    <t>СЕКСЕМБАЙ</t>
  </si>
  <si>
    <t>ЫҚЫЛАС</t>
  </si>
  <si>
    <t>МАҚСАТҰЛЫ</t>
  </si>
  <si>
    <t>дебатные, робототехника</t>
  </si>
  <si>
    <t>театральный</t>
  </si>
  <si>
    <t>НҰРЖАНҚЫЗЫ</t>
  </si>
  <si>
    <t>ЕРГОЖИНА</t>
  </si>
  <si>
    <t>АЛЬБИНА</t>
  </si>
  <si>
    <t>ТЛЕУБАЕВНА</t>
  </si>
  <si>
    <t>4 класс</t>
  </si>
  <si>
    <t>25-39</t>
  </si>
  <si>
    <t>Кружок домбры, хореография</t>
  </si>
  <si>
    <t>языковые</t>
  </si>
  <si>
    <t>АМАНГЕЛДІ</t>
  </si>
  <si>
    <t>САЛТАНАТ</t>
  </si>
  <si>
    <t>МЕЙІРБЕКҚЫЗЫ</t>
  </si>
  <si>
    <t>языковые, ИЗО</t>
  </si>
  <si>
    <t>АЯНАТ</t>
  </si>
  <si>
    <t>ОРАЗБЕКҚЫЗЫ</t>
  </si>
  <si>
    <t>эстрадный вокал, языковые, языковые, народные танцы, ИЗО</t>
  </si>
  <si>
    <t>платно, бесплатно, бесплатно, бесплатно, бесплатно</t>
  </si>
  <si>
    <t>ФАТИМА</t>
  </si>
  <si>
    <t>Кружок домбры, ИЗО</t>
  </si>
  <si>
    <t>ИСМАГУЛОВА</t>
  </si>
  <si>
    <t>ЖЕНИСОВНА</t>
  </si>
  <si>
    <t>кобыз, языковые, ИЗО</t>
  </si>
  <si>
    <t>АДІЛБЕК</t>
  </si>
  <si>
    <t>АДЕМА</t>
  </si>
  <si>
    <t>БАХТИЯРҚЫЗЫ</t>
  </si>
  <si>
    <t>Задержка психического развития</t>
  </si>
  <si>
    <t>[Задержка психического развития , Тяжелые нарушения речи ]</t>
  </si>
  <si>
    <t>САБЫРЖАНОВА</t>
  </si>
  <si>
    <t>АЙЛАНА</t>
  </si>
  <si>
    <t>НУРСУЛТАНОВНА</t>
  </si>
  <si>
    <t>АЛИ</t>
  </si>
  <si>
    <t>языковые, футбольные</t>
  </si>
  <si>
    <t>ЖІГЕР</t>
  </si>
  <si>
    <t>языковые, борьба (все виды), футбольные</t>
  </si>
  <si>
    <t>КЕНЖИН</t>
  </si>
  <si>
    <t>НҰРИСЛАМ</t>
  </si>
  <si>
    <t>МЫРЗАБЕКҰЛЫ</t>
  </si>
  <si>
    <t>4, 5, 5, 4, 4, 5</t>
  </si>
  <si>
    <t>АБЫЛАЙ</t>
  </si>
  <si>
    <t>борьба (все виды), языковые, футбольные</t>
  </si>
  <si>
    <t>РАМАЗАН</t>
  </si>
  <si>
    <t>домбра, языковые, футбольные</t>
  </si>
  <si>
    <t>БУРКИТБАЕВ</t>
  </si>
  <si>
    <t>ЕРЛАНОВИЧ</t>
  </si>
  <si>
    <t>ДҮСЕМБАЙ</t>
  </si>
  <si>
    <t>МИРАС</t>
  </si>
  <si>
    <t>САМАТҰЛЫ</t>
  </si>
  <si>
    <t>БАЛТАШ</t>
  </si>
  <si>
    <t>СЕРІКБАЙҚЫЗЫ</t>
  </si>
  <si>
    <t>другой области</t>
  </si>
  <si>
    <t>Олимпиада</t>
  </si>
  <si>
    <t>Предметное</t>
  </si>
  <si>
    <t>Республиканские</t>
  </si>
  <si>
    <t>Диплом</t>
  </si>
  <si>
    <t>2020-02-13T00:00:00</t>
  </si>
  <si>
    <t>ГАБДУЛЬМАНОВА</t>
  </si>
  <si>
    <t>ЖАННУР</t>
  </si>
  <si>
    <t>БЕРИКОВНА</t>
  </si>
  <si>
    <t>эстрадный вокал, языковые, бумагопластика, Дизайн одежды</t>
  </si>
  <si>
    <t>платно, бесплатно, бесплатно, бесплатно</t>
  </si>
  <si>
    <t>БАҚАТАЙ</t>
  </si>
  <si>
    <t>ЕДІЛ</t>
  </si>
  <si>
    <t>4, 4, 3, 4, 3, 4</t>
  </si>
  <si>
    <t>баскетбольные, дебатные, волейбольные</t>
  </si>
  <si>
    <t>художественная обработка дерева, теннис, футбольные</t>
  </si>
  <si>
    <t>ҚАЙСАРБЕК</t>
  </si>
  <si>
    <t>МАҚСАТ</t>
  </si>
  <si>
    <t>БУРАНБАЙҰЛЫ</t>
  </si>
  <si>
    <t>МҰРАТ</t>
  </si>
  <si>
    <t>МЕДИНА</t>
  </si>
  <si>
    <t>ЖАНҚЫЗЫ</t>
  </si>
  <si>
    <t>ТӨКЕН</t>
  </si>
  <si>
    <t>АЙЛУНА</t>
  </si>
  <si>
    <t>РАХАТҚЫЗЫ</t>
  </si>
  <si>
    <t>хореография</t>
  </si>
  <si>
    <t>Нарушения речи</t>
  </si>
  <si>
    <t>[Легкие нарушения речи  ]</t>
  </si>
  <si>
    <t>РУСЛАНОВ</t>
  </si>
  <si>
    <t>АМИР</t>
  </si>
  <si>
    <t>ТИМУРОВИЧ</t>
  </si>
  <si>
    <t>Татары</t>
  </si>
  <si>
    <t>ИЗО, робототехника</t>
  </si>
  <si>
    <t>ИЗО, теннис, футбольные</t>
  </si>
  <si>
    <t>МӘНСҮР</t>
  </si>
  <si>
    <t>театральный , художественная обработка дерева, теннис, футбольные</t>
  </si>
  <si>
    <t>бесплатно, бесплатно, бесплатно, бесплатно</t>
  </si>
  <si>
    <t>АЛИНАР</t>
  </si>
  <si>
    <t>ЖАНҰЛЫ</t>
  </si>
  <si>
    <t>3 класс</t>
  </si>
  <si>
    <t>МҰРАТХАН</t>
  </si>
  <si>
    <t>МАРИЯМ</t>
  </si>
  <si>
    <t>МАҚСАТҚЫЗЫ</t>
  </si>
  <si>
    <t>ТҰРАР</t>
  </si>
  <si>
    <t>ӘБІЛМАНСҰРҰЛЫ</t>
  </si>
  <si>
    <t>ИБРАИМ</t>
  </si>
  <si>
    <t>ЗАҒИЛА</t>
  </si>
  <si>
    <t>БОЛАТҚЫЗЫ</t>
  </si>
  <si>
    <t>ГҮЛДАНА</t>
  </si>
  <si>
    <t>не имеется</t>
  </si>
  <si>
    <t>ҚАНАТ</t>
  </si>
  <si>
    <t>ДАРХАНҰЛЫ</t>
  </si>
  <si>
    <t>домбра, театральный</t>
  </si>
  <si>
    <t>[Нарушения речи ]</t>
  </si>
  <si>
    <t>ЖАҢАБЕК</t>
  </si>
  <si>
    <t>МАХСАТҰЛЫ</t>
  </si>
  <si>
    <t>домбра, другие спортивные</t>
  </si>
  <si>
    <t>КАБДИНА</t>
  </si>
  <si>
    <t>МЕЛИНА</t>
  </si>
  <si>
    <t>МЕЙРЛАНКЫЗЫ</t>
  </si>
  <si>
    <t>ИЗО, хореография</t>
  </si>
  <si>
    <t>БАКЫТОВА</t>
  </si>
  <si>
    <t>САЯНОВНА</t>
  </si>
  <si>
    <t>ЕКПІН</t>
  </si>
  <si>
    <t>АСЫЛНАЗ</t>
  </si>
  <si>
    <t>ТОҚТАРҚЫЗЫ</t>
  </si>
  <si>
    <t>кобыз, эстрадный вокал, театральный , бумагопластика, ИЗО</t>
  </si>
  <si>
    <t>платно, платно, бесплатно, бесплатно, бесплатно</t>
  </si>
  <si>
    <t>[Тяжелые нарушения речи ]</t>
  </si>
  <si>
    <t>ТЕРЕКБАЙ</t>
  </si>
  <si>
    <t>ШЫРАЙЫМ</t>
  </si>
  <si>
    <t>ЖӘРДЕНБЕКҚЫЗЫ</t>
  </si>
  <si>
    <t>40-54</t>
  </si>
  <si>
    <t>языковые, народные танцы</t>
  </si>
  <si>
    <t>НҰРАЙЫМ</t>
  </si>
  <si>
    <t>ТҰРСЫНЖАН</t>
  </si>
  <si>
    <t>МӘРДИНА</t>
  </si>
  <si>
    <t>КИТАЙ</t>
  </si>
  <si>
    <t>3, 4, 3</t>
  </si>
  <si>
    <t>кобыз, бумагопластика, ИЗО, теннис</t>
  </si>
  <si>
    <t>БАЛТАБЕК</t>
  </si>
  <si>
    <t>ӘДИЯ</t>
  </si>
  <si>
    <t>ӘДІЛБЕКҚЫЗЫ</t>
  </si>
  <si>
    <t>ЖАНЕРКЕ</t>
  </si>
  <si>
    <t>БЕКУЖИНОВ</t>
  </si>
  <si>
    <t>БАТЫРЖАНОВИЧ</t>
  </si>
  <si>
    <t>теннис, футбольные, футбольные</t>
  </si>
  <si>
    <t>ҚАЖЫҒАЛИ</t>
  </si>
  <si>
    <t>ҚУАНЫШҚЫЗЫ</t>
  </si>
  <si>
    <t>ДЫБЫСОВА</t>
  </si>
  <si>
    <t>АЙША</t>
  </si>
  <si>
    <t>СЕРИКОВНА</t>
  </si>
  <si>
    <t>БАТЫРХАН</t>
  </si>
  <si>
    <t>ЖАНАШҰЛЫ</t>
  </si>
  <si>
    <t>ГАББАСОВА</t>
  </si>
  <si>
    <t>ВАЛЕРИЯ</t>
  </si>
  <si>
    <t>ВАЛЕРЬЕВНА</t>
  </si>
  <si>
    <t>театральный , народные танцы, теннис</t>
  </si>
  <si>
    <t>САГДИ</t>
  </si>
  <si>
    <t>ДІНМҰХАМЕД</t>
  </si>
  <si>
    <t>ЖАНГЕЛЬДЫҰЛЫ</t>
  </si>
  <si>
    <t>театральный , теннис, футбольные</t>
  </si>
  <si>
    <t>АНГЕЛИНА</t>
  </si>
  <si>
    <t>национальные игры, дебатные, Кружок домбры, шитьё</t>
  </si>
  <si>
    <t>ҚАЙЫРБЕК</t>
  </si>
  <si>
    <t>ҚАЙРАТ</t>
  </si>
  <si>
    <t>театральный , художественная обработка дерева, теннис, другие спортивные</t>
  </si>
  <si>
    <t>АЛПЫСБАЕВ</t>
  </si>
  <si>
    <t>ЕРЖАН</t>
  </si>
  <si>
    <t>ЖАСЛАНОВИЧ</t>
  </si>
  <si>
    <t>театральный , ИЗО, теннис, футбольные</t>
  </si>
  <si>
    <t>СЕКСЕНБАЙ</t>
  </si>
  <si>
    <t>ӘМИНА</t>
  </si>
  <si>
    <t>АСЫЛБЕКҚЫЗЫ</t>
  </si>
  <si>
    <t>Районные</t>
  </si>
  <si>
    <t>2020-03-06T10:18:00</t>
  </si>
  <si>
    <t>ЕЛУБАЙ</t>
  </si>
  <si>
    <t>театральный , бумагопластика</t>
  </si>
  <si>
    <t>АЯРУ</t>
  </si>
  <si>
    <t>2 класс</t>
  </si>
  <si>
    <t>0 - не проставляют</t>
  </si>
  <si>
    <t>хореография, ИЗО</t>
  </si>
  <si>
    <t>ИЗО, народные танцы</t>
  </si>
  <si>
    <t>АЯЛА</t>
  </si>
  <si>
    <t>ҚАНАТҰЛЫ</t>
  </si>
  <si>
    <t>РУСТАМҰЛЫ</t>
  </si>
  <si>
    <t>ГАЛИМЖАНОВА</t>
  </si>
  <si>
    <t>АЙБЕКОВНА</t>
  </si>
  <si>
    <t>народные танцы</t>
  </si>
  <si>
    <t>ГАЛИОЛЛАЕВ</t>
  </si>
  <si>
    <t>АЛЬ МАНСУР</t>
  </si>
  <si>
    <t>АКЫЛБЕКОВИЧ</t>
  </si>
  <si>
    <t>ДАУЛЕТ</t>
  </si>
  <si>
    <t>АЛМАТ</t>
  </si>
  <si>
    <t>МЕРЕКЕҰЛЫ</t>
  </si>
  <si>
    <t>эстрадный вокал, другие спортивные</t>
  </si>
  <si>
    <t>КАИРГЕЛЬДИНА</t>
  </si>
  <si>
    <t>АЛИША</t>
  </si>
  <si>
    <t>БАУЫРЖАНОВНА</t>
  </si>
  <si>
    <t>робототехника, хореография</t>
  </si>
  <si>
    <t>СЕЙІТХАН</t>
  </si>
  <si>
    <t>АРУНА</t>
  </si>
  <si>
    <t>АРЛАН</t>
  </si>
  <si>
    <t>НҰРЖАНҰЛЫ</t>
  </si>
  <si>
    <t>ДАРИНА</t>
  </si>
  <si>
    <t>БАХЫТҰЛЫ</t>
  </si>
  <si>
    <t>ЕРХАНАТ</t>
  </si>
  <si>
    <t>ТУЛКУБАЕВ</t>
  </si>
  <si>
    <t>1 класс</t>
  </si>
  <si>
    <t>НҰҒЫМАН</t>
  </si>
  <si>
    <t>АЙЛИН</t>
  </si>
  <si>
    <t>БОЛАТОВА</t>
  </si>
  <si>
    <t>АЙМИРА</t>
  </si>
  <si>
    <t>БАГЛАНОВНА</t>
  </si>
  <si>
    <t>МОЛДАБАЕВА</t>
  </si>
  <si>
    <t>СӘБЕТХАН</t>
  </si>
  <si>
    <t>ЕРЖӘНІБЕК</t>
  </si>
  <si>
    <t>ДАРХАНҚЫЗЫ</t>
  </si>
  <si>
    <t>ДЖИЛКАЙДАРОВ</t>
  </si>
  <si>
    <t>ШЫНГЫС</t>
  </si>
  <si>
    <t>КАНАТОВИЧ</t>
  </si>
  <si>
    <t>ДИЯР</t>
  </si>
  <si>
    <t>МУКАТАЕВА</t>
  </si>
  <si>
    <t>АМИНА</t>
  </si>
  <si>
    <t>ОЛЖАСОВНА</t>
  </si>
  <si>
    <t>МАЛГАЗДАРОВ</t>
  </si>
  <si>
    <t>ОЛЖАС</t>
  </si>
  <si>
    <t>3, 3, 3</t>
  </si>
  <si>
    <t>ЛАУРА</t>
  </si>
  <si>
    <t>АМАНГЕЛДІҚЫЗЫ</t>
  </si>
  <si>
    <t>САЙПИДИН</t>
  </si>
  <si>
    <t>ЖІБЕК</t>
  </si>
  <si>
    <t>САКЕНҚЫЗЫ</t>
  </si>
  <si>
    <t>Математика, Информатика, Естествознание</t>
  </si>
  <si>
    <t>дебатные, шитьё, ИЗО</t>
  </si>
  <si>
    <t>2019-11-18T00:00:00</t>
  </si>
  <si>
    <t>АЙҒАНЫМ</t>
  </si>
  <si>
    <t>Математика, Физика, Химия, Биология, География, Информатика</t>
  </si>
  <si>
    <t>БЕЙСЕНҒАЛИ</t>
  </si>
  <si>
    <t>АСЛАНҰЛЫ</t>
  </si>
  <si>
    <t>115-129</t>
  </si>
  <si>
    <t>АСЛАНҚЫЗЫ</t>
  </si>
  <si>
    <t>3, 3, 3, 4, 4, 4</t>
  </si>
  <si>
    <t>2019-02-07T00:00:00</t>
  </si>
  <si>
    <t>БАҒДАТ</t>
  </si>
  <si>
    <t>ДИАНА</t>
  </si>
  <si>
    <t>РУСТЕМҚЫЗЫ</t>
  </si>
  <si>
    <t>АЛДАБЕРГЕН</t>
  </si>
  <si>
    <t>АЗАМАТҚЫЗЫ</t>
  </si>
  <si>
    <t>4, 4, 4, 4, 4, 5</t>
  </si>
  <si>
    <t>ТАҢНҰР</t>
  </si>
  <si>
    <t>прибыл на дополнительное место с из-за пределов СНГ</t>
  </si>
  <si>
    <t>85-99</t>
  </si>
  <si>
    <t>национальные игры, хореография</t>
  </si>
  <si>
    <t>домбра, театральный , ИЗО</t>
  </si>
  <si>
    <t>КӘРІМ</t>
  </si>
  <si>
    <t>БОЛАТБЕКҰЛЫ</t>
  </si>
  <si>
    <t>11 класс</t>
  </si>
  <si>
    <t>Математика, Физика, География, Информатика</t>
  </si>
  <si>
    <t>4, 4, 5, 4</t>
  </si>
  <si>
    <t>ҚУАНЫШБАЙ</t>
  </si>
  <si>
    <t>НҰРСҰЛТАН</t>
  </si>
  <si>
    <t>МЕДЕТҰЛЫ</t>
  </si>
  <si>
    <t>ХАМИТОВА</t>
  </si>
  <si>
    <t>САФИРА</t>
  </si>
  <si>
    <t>РАФХАТОВНА</t>
  </si>
  <si>
    <t>Башкиры</t>
  </si>
  <si>
    <t>4, 4, 4, 5, 5, 4</t>
  </si>
  <si>
    <t>ШЫҢҒЫС</t>
  </si>
  <si>
    <t>ОРАЗҰЛЫ</t>
  </si>
  <si>
    <t>БАКЫТЖАН</t>
  </si>
  <si>
    <t>ӘДІЛХАН</t>
  </si>
  <si>
    <t>РУСТЕМҰЛЫ</t>
  </si>
  <si>
    <t>3, 3, 3, 3</t>
  </si>
  <si>
    <t>ВЕРА</t>
  </si>
  <si>
    <t>театральный , Дизайн одежды, теннис</t>
  </si>
  <si>
    <t>ҚАНАҒАТҰЛЫ</t>
  </si>
  <si>
    <t>ЛЕЙЛА</t>
  </si>
  <si>
    <t>БЕКТЕМІР</t>
  </si>
  <si>
    <t>3, 4, 4, 3</t>
  </si>
  <si>
    <t>АЛТЫН</t>
  </si>
  <si>
    <t>4, 4, 4, 4, 5, 4</t>
  </si>
  <si>
    <t>МУКАНОВ</t>
  </si>
  <si>
    <t>БАУЫРЖАН</t>
  </si>
  <si>
    <t>ЕРЖАНҰЛЫ</t>
  </si>
  <si>
    <t>ЕСКЕНОВА</t>
  </si>
  <si>
    <t>АЯЖАН</t>
  </si>
  <si>
    <t>ТУЛЕМИСОВНА</t>
  </si>
  <si>
    <t>Математика, Информатика, Физика, География</t>
  </si>
  <si>
    <t>4, 4, 4, 5</t>
  </si>
  <si>
    <t>2018-10-13T00:00:00</t>
  </si>
  <si>
    <t>САБЫРТАЕВ</t>
  </si>
  <si>
    <t>ИЛЬЯС</t>
  </si>
  <si>
    <t>АСЫЛБЕКОВИЧ</t>
  </si>
  <si>
    <t>Математика, Информатика, Физика, Химия, Биология, География</t>
  </si>
  <si>
    <t>4, 4, 4, 4, 5, 5</t>
  </si>
  <si>
    <t>ҚАЖЫБАЙ</t>
  </si>
  <si>
    <t>национальные игры, волейбольные</t>
  </si>
  <si>
    <t>НАРҒИЗА</t>
  </si>
  <si>
    <t>ЖАНАШҚЫЗЫ</t>
  </si>
  <si>
    <t>Международные</t>
  </si>
  <si>
    <t>2019-03-18T00:00:00</t>
  </si>
  <si>
    <t>АБУБАКИР</t>
  </si>
  <si>
    <t>АБДИКАЛИҚЫЗЫ</t>
  </si>
  <si>
    <t>3, 3, 4, 4, 4, 5</t>
  </si>
  <si>
    <t>КОСМУРЗАЕВ</t>
  </si>
  <si>
    <t>АСЫЛХАН</t>
  </si>
  <si>
    <t>АБДИХАЛИКОВИЧ</t>
  </si>
  <si>
    <t>4, 4, 4, 5, 4, 4</t>
  </si>
  <si>
    <t>САЙРАНБЕК</t>
  </si>
  <si>
    <t>4, 4, 4, 4</t>
  </si>
  <si>
    <t>2019-03-12T00:00:00</t>
  </si>
  <si>
    <t>НҰРШӘРИП</t>
  </si>
  <si>
    <t>АРМАН</t>
  </si>
  <si>
    <t>ОКТЯБРЬҰЛЫ</t>
  </si>
  <si>
    <t>АЙДАРБЕК</t>
  </si>
  <si>
    <t>АЛДИАР</t>
  </si>
  <si>
    <t>ДӘУРЕНБЕКҰЛЫ</t>
  </si>
  <si>
    <t>ТҰРҒАНЖАН</t>
  </si>
  <si>
    <t>КАИРГЕЛЬДИНОВА</t>
  </si>
  <si>
    <t>ЖАНАЙЫМ</t>
  </si>
  <si>
    <t>АЛТАЕВНА</t>
  </si>
  <si>
    <t>БЕКБОЛАТ</t>
  </si>
  <si>
    <t>АЛДИЯР</t>
  </si>
  <si>
    <t>АЗАМАТҰЛЫ</t>
  </si>
  <si>
    <t>ӘРСЕН</t>
  </si>
  <si>
    <t>МЕЙІРБЕКҰЛЫ</t>
  </si>
  <si>
    <t>ТОҚТАРҰЛЫ</t>
  </si>
  <si>
    <t>[охвачен ежедневным подвозом]</t>
  </si>
  <si>
    <t>КАЙРГЕЛДЫ</t>
  </si>
  <si>
    <t>БАТЫРХАНҚЫЗЫ</t>
  </si>
  <si>
    <t>ЕРСІНҰЛЫ</t>
  </si>
  <si>
    <t>БОЛАТОВ</t>
  </si>
  <si>
    <t>АСЕТ</t>
  </si>
  <si>
    <t>ЖОМАРТОВИЧ</t>
  </si>
  <si>
    <t>БЕЛЬГУМБАЕВА</t>
  </si>
  <si>
    <t>АМАНГЕЛЬДИЕВНА</t>
  </si>
  <si>
    <t>УСТЮЛЕНОВА</t>
  </si>
  <si>
    <t>УМИТ</t>
  </si>
  <si>
    <t>домбра, художественная обработка дерева</t>
  </si>
  <si>
    <t>КУНДЫЗ</t>
  </si>
  <si>
    <t>национальные игры, Кружок домбры, шитьё, робототехника</t>
  </si>
  <si>
    <t>СОВЕТ</t>
  </si>
  <si>
    <t>МҰРАТБЕКҰЛЫ</t>
  </si>
  <si>
    <t>МЫРЗАҒАЛИ</t>
  </si>
  <si>
    <t>МУХАМЕДЖАНОВА</t>
  </si>
  <si>
    <t>АЯУЛЫМ</t>
  </si>
  <si>
    <t>БАХТИЯРОВНА</t>
  </si>
  <si>
    <t>МАНАТҚЫЗЫ</t>
  </si>
  <si>
    <t>100-114</t>
  </si>
  <si>
    <t>ӘДІЛБЕКҰЛЫ</t>
  </si>
  <si>
    <t>ЖАЛҒАС</t>
  </si>
  <si>
    <t>ЕРЛАНҚЫЗЫ</t>
  </si>
  <si>
    <t>шитьё, ИЗО, робототехника</t>
  </si>
  <si>
    <t>САДВАКАСОВА</t>
  </si>
  <si>
    <t>МЕДЕТОВНА</t>
  </si>
  <si>
    <t>САДВАКАСОВ</t>
  </si>
  <si>
    <t>ЖАСУЛАН</t>
  </si>
  <si>
    <t>МЕДЕТОВИЧ</t>
  </si>
  <si>
    <t>ДУЛАН</t>
  </si>
  <si>
    <t>АНСАР</t>
  </si>
  <si>
    <t>ЕРКЕШҰЛЫ</t>
  </si>
  <si>
    <t>АКМОЛИНСКАЯ</t>
  </si>
  <si>
    <t>КОКШЕТАУ</t>
  </si>
  <si>
    <t>УДОСТОВЕРЕНИЕ РК</t>
  </si>
  <si>
    <t>МИНИСТЕРСТВО ВНУТРЕННИХ ДЕЛ РК</t>
  </si>
  <si>
    <t>Прием документов и зачисление в организацию образования (в 1 класс)</t>
  </si>
  <si>
    <t>Родитель</t>
  </si>
  <si>
    <t>Общеобразовательное</t>
  </si>
  <si>
    <t>2024-2025 уч.г.</t>
  </si>
  <si>
    <t>Акмолинская область</t>
  </si>
  <si>
    <t>Зерендинский район</t>
  </si>
  <si>
    <t>с.Зеренда</t>
  </si>
  <si>
    <t>="КГУ "Школа-гимназия имени Малика Габдуллина села Зеренда""</t>
  </si>
  <si>
    <t>=""Зеренді ауылының Мәлік Ғабдуллин атындағы мектеп-гимназиясы" КММ"</t>
  </si>
  <si>
    <t>АЛТАЙ</t>
  </si>
  <si>
    <t>САЯН</t>
  </si>
  <si>
    <t>ҚАЙЫРҚАНҰЛЫ</t>
  </si>
  <si>
    <t>ЕСЖАН</t>
  </si>
  <si>
    <t>АЙБЕКҰЛЫ</t>
  </si>
  <si>
    <t>ЗЕРЕНДИНСКИЙ РАЙОН</t>
  </si>
  <si>
    <t>ӨМІРЗАҚ</t>
  </si>
  <si>
    <t>ДАРИЯ</t>
  </si>
  <si>
    <t>КОСПАНОВА</t>
  </si>
  <si>
    <t>АИША</t>
  </si>
  <si>
    <t>ЗАМИРОВНА</t>
  </si>
  <si>
    <t>КАМАЛОВ</t>
  </si>
  <si>
    <t>РАДМИР</t>
  </si>
  <si>
    <t>РИФКАТОВИЧ</t>
  </si>
  <si>
    <t>КАМАЛОВА</t>
  </si>
  <si>
    <t>ЮЛЬГИЗА</t>
  </si>
  <si>
    <t>РИФКАТОВНА</t>
  </si>
  <si>
    <t>Кружок домбры, робототехника, хореография</t>
  </si>
  <si>
    <t>АҚЖІГІТ</t>
  </si>
  <si>
    <t>МЕЛИКСҰЛЫ</t>
  </si>
  <si>
    <t>10 класс</t>
  </si>
  <si>
    <t>СЕРИКОВА</t>
  </si>
  <si>
    <t>ДИЛАРА</t>
  </si>
  <si>
    <t>САЯНКЫЗЫ</t>
  </si>
  <si>
    <t>Математика, Информатика, География, Физика, Химия, Биология</t>
  </si>
  <si>
    <t>5, 5, 5, 4, 4, 5</t>
  </si>
  <si>
    <t>ОРАЛ</t>
  </si>
  <si>
    <t>СӘРСЕНБАЙҰЛЫ</t>
  </si>
  <si>
    <t>НУРИМАН</t>
  </si>
  <si>
    <t>Соревнование</t>
  </si>
  <si>
    <t>Научное</t>
  </si>
  <si>
    <t>2019-10-10T00:00:00</t>
  </si>
  <si>
    <t>МАНАТҰЛЫ</t>
  </si>
  <si>
    <t>4, 3, 3, 3, 3, 3</t>
  </si>
  <si>
    <t>ХАЛЕЛ</t>
  </si>
  <si>
    <t>АСҚАРҚЫЗЫ</t>
  </si>
  <si>
    <t>4, 4, 5, 4, 4, 4</t>
  </si>
  <si>
    <t>БАТЫРХАНОВА</t>
  </si>
  <si>
    <t>ЖАСМИН</t>
  </si>
  <si>
    <t>АЗАМАТОВНА</t>
  </si>
  <si>
    <t>ДОСЫМБЕК</t>
  </si>
  <si>
    <t>ТАЛҒАТҰЛЫ</t>
  </si>
  <si>
    <t>АДЭЛИНА</t>
  </si>
  <si>
    <t>3, 4, 4, 3, 3, 3</t>
  </si>
  <si>
    <t>[Задержка психического развития ]</t>
  </si>
  <si>
    <t>БЕЙСЕН</t>
  </si>
  <si>
    <t>4, 3, 4, 4, 3, 4</t>
  </si>
  <si>
    <t>КАЙРОЛЛА</t>
  </si>
  <si>
    <t>МӘНШУК</t>
  </si>
  <si>
    <t>ЫБРАЙҚЫЗЫ</t>
  </si>
  <si>
    <t>дебатные, Кружок домбры, ИЗО</t>
  </si>
  <si>
    <t>2019-04-16T00:00:00</t>
  </si>
  <si>
    <t>КАЛАБАЕВА</t>
  </si>
  <si>
    <t>АДЕЛЬ</t>
  </si>
  <si>
    <t>МАКСАТОВНА</t>
  </si>
  <si>
    <t>5, 5, 5, 5, 4, 5</t>
  </si>
  <si>
    <t>БЕКЖАН</t>
  </si>
  <si>
    <t>ЖОЛДЫБЕКҰЛЫ</t>
  </si>
  <si>
    <t>ИСКАКОВА</t>
  </si>
  <si>
    <t>ЗАРИНА</t>
  </si>
  <si>
    <t>НУРЛАНОВНА</t>
  </si>
  <si>
    <t>4, 5, 5, 5, 4, 5</t>
  </si>
  <si>
    <t>Олимпиада , Конкурс</t>
  </si>
  <si>
    <t>Предметное, Предметное</t>
  </si>
  <si>
    <t>На уровне данной организации, Республиканские</t>
  </si>
  <si>
    <t>Грамота, Диплом</t>
  </si>
  <si>
    <t>2018-11-28T00:00:00, 2022-04-21T00:00:00</t>
  </si>
  <si>
    <t>ЖЕКСЕНБЕК</t>
  </si>
  <si>
    <t>ҰЛПАН</t>
  </si>
  <si>
    <t>Соревнование, Конкурс, Конкурс</t>
  </si>
  <si>
    <t>Спортивное, Предметное, Предметное</t>
  </si>
  <si>
    <t>Районные, Районные, Районные</t>
  </si>
  <si>
    <t>Грамота, Диплом, Диплом</t>
  </si>
  <si>
    <t>2020-01-15T11:17:00, 2021-11-15T00:00:00, 2021-11-23T00:00:00</t>
  </si>
  <si>
    <t>ӨМІРБЕК</t>
  </si>
  <si>
    <t>ЖАНТӨРЕ</t>
  </si>
  <si>
    <t>АБЫЛАЙҰЛЫ</t>
  </si>
  <si>
    <t>АЙДАРБЕКОВ</t>
  </si>
  <si>
    <t>КУАНЫШ</t>
  </si>
  <si>
    <t>ДАУРЕНБЕКУЛЫ</t>
  </si>
  <si>
    <t>Математика, Физика, География, Химия, Биология, Информатика</t>
  </si>
  <si>
    <t>3, 3, 3, 3, 4, 5</t>
  </si>
  <si>
    <t>[Умеренные нарушения интеллекта , Задержка психического развития ]</t>
  </si>
  <si>
    <t>КАЙЫРЖАНОВ</t>
  </si>
  <si>
    <t>ЕРКИНОВИЧ</t>
  </si>
  <si>
    <t>ҚАЛЫМТАЙ</t>
  </si>
  <si>
    <t>ЕЛДОС</t>
  </si>
  <si>
    <t>баскетбольные, дебатные</t>
  </si>
  <si>
    <t>СЫЗКЕН</t>
  </si>
  <si>
    <t>МАРАЛБЕКҚЫЗЫ</t>
  </si>
  <si>
    <t>дебатные, Кружок домбры</t>
  </si>
  <si>
    <t>СЕМБИҚЫЗЫ</t>
  </si>
  <si>
    <t>0 класс</t>
  </si>
  <si>
    <t>[Сформирован,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Сформирован, Сформирован]</t>
  </si>
  <si>
    <t>ЕРТУҒАН</t>
  </si>
  <si>
    <t>ДУЛАТ</t>
  </si>
  <si>
    <t>ДАЛИДА</t>
  </si>
  <si>
    <t>АСЕНҚЫЗЫ</t>
  </si>
  <si>
    <t>обеспечен другой школой</t>
  </si>
  <si>
    <t>эстрадный вокал, народные танцы, ИЗО</t>
  </si>
  <si>
    <t>МУСАЕВА</t>
  </si>
  <si>
    <t>ТОМИРИС</t>
  </si>
  <si>
    <t>КАЙЫРЖАНОВНА</t>
  </si>
  <si>
    <t>3, 4, 4, 4, 5, 4</t>
  </si>
  <si>
    <t>ЕГІМБЕК</t>
  </si>
  <si>
    <t>АЛМАС</t>
  </si>
  <si>
    <t>ЖЕҢІСҚЫЗЫ</t>
  </si>
  <si>
    <t>ЛӘЙЛА</t>
  </si>
  <si>
    <t>НУРАХМЕТОВА</t>
  </si>
  <si>
    <t>АЗИЗА</t>
  </si>
  <si>
    <t>АЯНОВНА</t>
  </si>
  <si>
    <t>СЕЙСЕМБАЕВА</t>
  </si>
  <si>
    <t>ТАБЫЛДЫ</t>
  </si>
  <si>
    <t>НИЯЗҰЛЫ</t>
  </si>
  <si>
    <t>АРҒЫН</t>
  </si>
  <si>
    <t>ӘБІЛМАНСУРҰЛЫ</t>
  </si>
  <si>
    <t>[Тяжелые нарушения речи , Задержка психического развития ]</t>
  </si>
  <si>
    <t>ТЕМИРГАЛИЕВА</t>
  </si>
  <si>
    <t>ЕРИКОВНА</t>
  </si>
  <si>
    <t>[специальная поддержка логопедом, специальная поддержка психологом]</t>
  </si>
  <si>
    <t>ИСЛАМ</t>
  </si>
  <si>
    <t>САЯНҰЛЫ</t>
  </si>
  <si>
    <t>СУРАГАНОВА</t>
  </si>
  <si>
    <t>САМАЛ</t>
  </si>
  <si>
    <t>САМАТОВНА</t>
  </si>
  <si>
    <t>ҚҰРМАНҒАЛИ</t>
  </si>
  <si>
    <t>ТАҢШОЛПАН</t>
  </si>
  <si>
    <t>ӨРКЕНБАЙ</t>
  </si>
  <si>
    <t>АҚНҰР</t>
  </si>
  <si>
    <t>[охвачен(-а) бесплатным горячим питанием, охвачен(-а) горячим питанием]</t>
  </si>
  <si>
    <t>ТАСЫМОВА</t>
  </si>
  <si>
    <t>АХМЕТЖАН</t>
  </si>
  <si>
    <t>МЕРЕКЕЖАНҰЛЫ</t>
  </si>
  <si>
    <t>УЛЬСАИТОВА</t>
  </si>
  <si>
    <t>МЕРЕКЕЖАНОВНА</t>
  </si>
  <si>
    <t>2022-11-17T00:00:00</t>
  </si>
  <si>
    <t>АЛЬЖАНОВ</t>
  </si>
  <si>
    <t>ШАМИЛЬ</t>
  </si>
  <si>
    <t>АДИЛЬХАНОВИЧ</t>
  </si>
  <si>
    <t>другие</t>
  </si>
  <si>
    <t>СЕИТОВА</t>
  </si>
  <si>
    <t>ЖАНИБЕКОВНА</t>
  </si>
  <si>
    <t>КАРАБЖАНОВ</t>
  </si>
  <si>
    <t>СУЛТАН</t>
  </si>
  <si>
    <t>4, 4, 4, 3, 4, 4</t>
  </si>
  <si>
    <t>МӨЛДІР</t>
  </si>
  <si>
    <t>ӘСЕТҚЫЗЫ</t>
  </si>
  <si>
    <t>3, 3, 3, 4, 4, 5</t>
  </si>
  <si>
    <t>САГИНДЫҚ</t>
  </si>
  <si>
    <t>НАРИМАН</t>
  </si>
  <si>
    <t>Математика, Физика, Химия, География, Биология, Информатика</t>
  </si>
  <si>
    <t>3, 3, 3, 3, 3, 4</t>
  </si>
  <si>
    <t>КАЛИЖАН</t>
  </si>
  <si>
    <t>АННУР</t>
  </si>
  <si>
    <t>ДАУЛЕТБАЙҰЛЫ</t>
  </si>
  <si>
    <t>181110600095</t>
  </si>
  <si>
    <t>КАЗАХСТАН, АКМОЛИНСКАЯ, ЗЕРЕНДИНСКИЙ РАЙОН, Зерендинский, Зеренда, 34, 1</t>
  </si>
  <si>
    <t>ҚАЗАҚСТАН, АҚМОЛА, ЗЕРЕНДІ АУДАНЫ, Зерендинский, Зеренда, 34, 1</t>
  </si>
  <si>
    <t>Зерендинский, Зеренда, 34, 1</t>
  </si>
  <si>
    <t>2024-09-01T00:00:00</t>
  </si>
  <si>
    <t>25</t>
  </si>
  <si>
    <t>2024-09-01T08:55:34</t>
  </si>
  <si>
    <t>2025-05-25T08:55:34</t>
  </si>
  <si>
    <t>941121450950</t>
  </si>
  <si>
    <t>ЗИЯДИНА МАРЖАН БЕКДАУЛОВНА</t>
  </si>
  <si>
    <t>2024-09-02T00:00:00</t>
  </si>
  <si>
    <t>190125500862</t>
  </si>
  <si>
    <t>КАЗАХСТАН, В-КАЗАХСТАНСКАЯ, УСТЬ-КАМЕНОГОРСК, 288</t>
  </si>
  <si>
    <t>ҚАЗАҚСТАН, ШЫҒ-ҚАЗАҚСТАН, ӨСКЕМЕН, 288</t>
  </si>
  <si>
    <t>288</t>
  </si>
  <si>
    <t>2024-09-01T09:04:54</t>
  </si>
  <si>
    <t>2025-05-25T09:04:54</t>
  </si>
  <si>
    <t>181022503709</t>
  </si>
  <si>
    <t>КАЗАХСТАН, АКМОЛИНСКАЯ, ЗЕРЕНДИНСКИЙ РАЙОН, Малика Габдуллина, Серафимовка, 2, 1</t>
  </si>
  <si>
    <t>ҚАЗАҚСТАН, АҚМОЛА, ЗЕРЕНДІ АУДАНЫ, Малика Габдуллина, Серафимовка, 2, 1</t>
  </si>
  <si>
    <t>Малика Габдуллина, Серафимовка, 2, 1</t>
  </si>
  <si>
    <t>2024-09-01T09:05:40</t>
  </si>
  <si>
    <t>2025-05-25T09:05:40</t>
  </si>
  <si>
    <t>180920600105</t>
  </si>
  <si>
    <t>КАЗАХСТАН, АКМОЛИНСКАЯ, ЗЕРЕНДИНСКИЙ РАЙОН, Зерендинский, Зеренда, 41</t>
  </si>
  <si>
    <t>ҚАЗАҚСТАН, АҚМОЛА, ЗЕРЕНДІ АУДАНЫ, Зерендинский, Зеренда, 41</t>
  </si>
  <si>
    <t>Зерендинский, Зеренда, 41</t>
  </si>
  <si>
    <t>2024-09-01T09:06:43</t>
  </si>
  <si>
    <t>2025-05-25T09:06:43</t>
  </si>
  <si>
    <t>2024-02-02T00:00:00</t>
  </si>
  <si>
    <t>180705502007</t>
  </si>
  <si>
    <t>КАЗАХСТАН, АКМОЛИНСКАЯ, ЗЕРЕНДИНСКИЙ РАЙОН, Зерендинский, Зеренда, 46А</t>
  </si>
  <si>
    <t>ҚАЗАҚСТАН, АҚМОЛА, ЗЕРЕНДІ АУДАНЫ, Зерендинский, Зеренда, 46А</t>
  </si>
  <si>
    <t>Зерендинский, Зеренда, 46А</t>
  </si>
  <si>
    <t>2024-09-01T09:07:29</t>
  </si>
  <si>
    <t>2025-05-25T09:07:29</t>
  </si>
  <si>
    <t>180808600861</t>
  </si>
  <si>
    <t>КАЗАХСТАН, АКМОЛИНСКАЯ, ЗЕРЕНДИНСКИЙ РАЙОН, Зерендинский, Зеренда, 52Г</t>
  </si>
  <si>
    <t>ҚАЗАҚСТАН, АҚМОЛА, ЗЕРЕНДІ АУДАНЫ, Зерендинский, Зеренда, 52Г</t>
  </si>
  <si>
    <t>Зерендинский, Зеренда, 52Г</t>
  </si>
  <si>
    <t>2024-09-01T09:08:13</t>
  </si>
  <si>
    <t>2025-05-25T09:08:13</t>
  </si>
  <si>
    <t>181113600626</t>
  </si>
  <si>
    <t>КАЗАХСТАН, АКМОЛИНСКАЯ, ЗЕРЕНДИНСКИЙ РАЙОН, ЗЕРЕНДА, 20</t>
  </si>
  <si>
    <t>ҚАЗАҚСТАН, АҚМОЛА, ЗЕРЕНДІ АУДАНЫ, ЗЕРЕНДА, 20</t>
  </si>
  <si>
    <t>ЗЕРЕНДА, 20</t>
  </si>
  <si>
    <t>2024-09-01T09:09:37</t>
  </si>
  <si>
    <t>2025-05-25T09:09:37</t>
  </si>
  <si>
    <t>190429600633</t>
  </si>
  <si>
    <t>КАЗАХСТАН, АКМОЛИНСКАЯ, КОКШЕТАУ, -, 25, 1</t>
  </si>
  <si>
    <t>ҚАЗАҚСТАН, АҚМОЛА, КӨКШЕТАУ, -, 25, 1</t>
  </si>
  <si>
    <t>-, 25, 1</t>
  </si>
  <si>
    <t>2024-09-01T09:10:24</t>
  </si>
  <si>
    <t>2025-05-25T09:10:24</t>
  </si>
  <si>
    <t>181220500215</t>
  </si>
  <si>
    <t>КАЗАХСТАН, АКМОЛИНСКАЯ, ЗЕРЕНДИНСКИЙ РАЙОН, ЗЕРЕНДИНСКИЙ, ЗЕРЕНД, 47</t>
  </si>
  <si>
    <t>ҚАЗАҚСТАН, АҚМОЛА, ЗЕРЕНДІ АУДАНЫ, ЗЕРЕНДИНСКИЙ, ЗЕРЕНД, 47</t>
  </si>
  <si>
    <t>ЗЕРЕНДИНСКИЙ, ЗЕРЕНД, 47</t>
  </si>
  <si>
    <t>2024-09-01T09:11:59</t>
  </si>
  <si>
    <t>2025-05-25T09:11:59</t>
  </si>
  <si>
    <t>181231501065</t>
  </si>
  <si>
    <t>КАЗАХСТАН, АКМОЛИНСКАЯ, ЗЕРЕНДИНСКИЙ РАЙОН, ЗЕРЕНДА, 81</t>
  </si>
  <si>
    <t>ҚАЗАҚСТАН, АҚМОЛА, ЗЕРЕНДІ АУДАНЫ, ЗЕРЕНДА, 81</t>
  </si>
  <si>
    <t>ЗЕРЕНДА, 81</t>
  </si>
  <si>
    <t>2024-09-01T09:13:05</t>
  </si>
  <si>
    <t>2025-05-25T09:13:05</t>
  </si>
  <si>
    <t>180226600876</t>
  </si>
  <si>
    <t>КАЗАХСТАН, АКМОЛИНСКАЯ, ЗЕРЕНДИНСКИЙ РАЙОН, ЗЕРЕНДИНСКИЙ, ЗЕРЕНД</t>
  </si>
  <si>
    <t>ҚАЗАҚСТАН, АҚМОЛА, ЗЕРЕНДІ АУДАНЫ, ЗЕРЕНДИНСКИЙ, ЗЕРЕНД</t>
  </si>
  <si>
    <t>ЗЕРЕНДИНСКИЙ, ЗЕРЕНД</t>
  </si>
  <si>
    <t>2024-09-01T16:42:58</t>
  </si>
  <si>
    <t>2025-05-25T16:42:58</t>
  </si>
  <si>
    <t>1055</t>
  </si>
  <si>
    <t>2023-06-01T00:00:00</t>
  </si>
  <si>
    <t>190208505478</t>
  </si>
  <si>
    <t>КАЗАХСТАН, АКМОЛИНСКАЯ, ЗЕРЕНДИНСКИЙ РАЙОН, Зерендинский, Зеренда, 6, 2</t>
  </si>
  <si>
    <t>ҚАЗАҚСТАН, АҚМОЛА, ЗЕРЕНДІ АУДАНЫ, Зерендинский, Зеренда, 6, 2</t>
  </si>
  <si>
    <t>Зерендинский, Зеренда, 6, 2</t>
  </si>
  <si>
    <t>2024-09-01T09:14:53</t>
  </si>
  <si>
    <t>2025-05-25T09:14:53</t>
  </si>
  <si>
    <t>180201505478</t>
  </si>
  <si>
    <t>КАЗАХСТАН, АКМОЛИНСКАЯ, ЗЕРЕНДИНСКИЙ РАЙОН, Зерендинский, Зеренда, 21, 1</t>
  </si>
  <si>
    <t>ҚАЗАҚСТАН, АҚМОЛА, ЗЕРЕНДІ АУДАНЫ, Зерендинский, Зеренда, 21, 1</t>
  </si>
  <si>
    <t>Зерендинский, Зеренда, 21, 1</t>
  </si>
  <si>
    <t>2024-09-01T09:16:13</t>
  </si>
  <si>
    <t>2025-05-25T09:16:13</t>
  </si>
  <si>
    <t>180611604722</t>
  </si>
  <si>
    <t>КАЗАХСТАН, АКМОЛИНСКАЯ, ЗЕРЕНДИНСКИЙ РАЙОН, Троицкий, Карсак, 9, 1</t>
  </si>
  <si>
    <t>ҚАЗАҚСТАН, АҚМОЛА, ЗЕРЕНДІ АУДАНЫ, Троицкий, Карсак, 9, 1</t>
  </si>
  <si>
    <t>Троицкий, Карсак, 9, 1</t>
  </si>
  <si>
    <t>2024-09-01T18:09:20</t>
  </si>
  <si>
    <t>2025-05-25T18:09:20</t>
  </si>
  <si>
    <t>190225602798</t>
  </si>
  <si>
    <t>КАЗАХСТАН, АКМОЛИНСКАЯ, ЗЕРЕНДИНСКИЙ РАЙОН, ЗЕРЕНДА, 59</t>
  </si>
  <si>
    <t>ҚАЗАҚСТАН, АҚМОЛА, ЗЕРЕНДІ АУДАНЫ, ЗЕРЕНДА, 59</t>
  </si>
  <si>
    <t>ЗЕРЕНДА, 59</t>
  </si>
  <si>
    <t>2024-09-13T00:00:00</t>
  </si>
  <si>
    <t>32</t>
  </si>
  <si>
    <t>2024-09-01T09:19:38</t>
  </si>
  <si>
    <t>2025-05-25T09:19:38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</si>
</sst>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7" fontId="0" fillId="0" borderId="0" xfId="0" applyNumberFormat="1"/>
    <xf numFmtId="16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274"/>
  <sheetViews>
    <sheetView tabSelected="1" topLeftCell="I2" workbookViewId="0">
      <selection activeCell="AB10" sqref="AB10"/>
    </sheetView>
  </sheetViews>
  <sheetFormatPr defaultRowHeight="15" x14ac:dyDescent="0.25"/>
  <sheetData>
    <row r="1" spans="1:28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  <c r="FW1" t="s">
        <v>178</v>
      </c>
      <c r="FX1" t="s">
        <v>179</v>
      </c>
      <c r="FY1" t="s">
        <v>180</v>
      </c>
      <c r="FZ1" t="s">
        <v>181</v>
      </c>
      <c r="GA1" t="s">
        <v>182</v>
      </c>
      <c r="GB1" t="s">
        <v>183</v>
      </c>
      <c r="GC1" t="s">
        <v>184</v>
      </c>
      <c r="GD1" t="s">
        <v>185</v>
      </c>
      <c r="GE1" t="s">
        <v>186</v>
      </c>
      <c r="GF1" t="s">
        <v>187</v>
      </c>
      <c r="GG1" t="s">
        <v>188</v>
      </c>
      <c r="GH1" t="s">
        <v>189</v>
      </c>
      <c r="GI1" t="s">
        <v>190</v>
      </c>
      <c r="GJ1" t="s">
        <v>191</v>
      </c>
      <c r="GK1" t="s">
        <v>192</v>
      </c>
      <c r="GL1" t="s">
        <v>193</v>
      </c>
      <c r="GM1" t="s">
        <v>194</v>
      </c>
      <c r="GN1" t="s">
        <v>195</v>
      </c>
      <c r="GO1" t="s">
        <v>196</v>
      </c>
      <c r="GP1" t="s">
        <v>197</v>
      </c>
      <c r="GQ1" t="s">
        <v>198</v>
      </c>
      <c r="GR1" t="s">
        <v>199</v>
      </c>
      <c r="GS1" t="s">
        <v>200</v>
      </c>
      <c r="GT1" t="s">
        <v>201</v>
      </c>
      <c r="GU1" t="s">
        <v>202</v>
      </c>
      <c r="GV1" t="s">
        <v>203</v>
      </c>
      <c r="GW1" t="s">
        <v>204</v>
      </c>
      <c r="GX1" t="s">
        <v>205</v>
      </c>
      <c r="GY1" t="s">
        <v>206</v>
      </c>
      <c r="GZ1" t="s">
        <v>207</v>
      </c>
      <c r="HA1" t="s">
        <v>208</v>
      </c>
      <c r="HB1" t="s">
        <v>209</v>
      </c>
      <c r="HC1" t="s">
        <v>210</v>
      </c>
      <c r="HD1" t="s">
        <v>211</v>
      </c>
      <c r="HE1" t="s">
        <v>212</v>
      </c>
      <c r="HF1" t="s">
        <v>213</v>
      </c>
      <c r="HG1" t="s">
        <v>214</v>
      </c>
      <c r="HH1" t="s">
        <v>215</v>
      </c>
      <c r="HI1" t="s">
        <v>216</v>
      </c>
      <c r="HJ1" t="s">
        <v>217</v>
      </c>
      <c r="HK1" t="s">
        <v>218</v>
      </c>
      <c r="HL1" t="s">
        <v>219</v>
      </c>
      <c r="HM1" t="s">
        <v>220</v>
      </c>
      <c r="HN1" t="s">
        <v>221</v>
      </c>
      <c r="HO1" t="s">
        <v>222</v>
      </c>
      <c r="HP1" t="s">
        <v>223</v>
      </c>
      <c r="HQ1" t="s">
        <v>224</v>
      </c>
      <c r="HR1" t="s">
        <v>225</v>
      </c>
      <c r="HS1" t="s">
        <v>226</v>
      </c>
      <c r="HT1" t="s">
        <v>227</v>
      </c>
      <c r="HU1" t="s">
        <v>228</v>
      </c>
      <c r="HV1" t="s">
        <v>229</v>
      </c>
      <c r="HW1" t="s">
        <v>230</v>
      </c>
      <c r="HX1" t="s">
        <v>231</v>
      </c>
      <c r="HY1" t="s">
        <v>232</v>
      </c>
      <c r="HZ1" t="s">
        <v>233</v>
      </c>
      <c r="IA1" t="s">
        <v>234</v>
      </c>
      <c r="IB1" t="s">
        <v>235</v>
      </c>
      <c r="IC1" t="s">
        <v>236</v>
      </c>
      <c r="ID1" t="s">
        <v>237</v>
      </c>
      <c r="IE1" t="s">
        <v>238</v>
      </c>
      <c r="IF1" t="s">
        <v>239</v>
      </c>
      <c r="IG1" t="s">
        <v>240</v>
      </c>
      <c r="IH1" t="s">
        <v>241</v>
      </c>
      <c r="II1" t="s">
        <v>242</v>
      </c>
      <c r="IJ1" t="s">
        <v>243</v>
      </c>
      <c r="IK1" t="s">
        <v>244</v>
      </c>
      <c r="IL1" t="s">
        <v>245</v>
      </c>
      <c r="IM1" t="s">
        <v>246</v>
      </c>
      <c r="IN1" t="s">
        <v>247</v>
      </c>
      <c r="IO1" t="s">
        <v>248</v>
      </c>
      <c r="IP1" t="s">
        <v>249</v>
      </c>
      <c r="IQ1" t="s">
        <v>250</v>
      </c>
      <c r="IR1" t="s">
        <v>251</v>
      </c>
      <c r="IS1" t="s">
        <v>252</v>
      </c>
      <c r="IT1" t="s">
        <v>253</v>
      </c>
      <c r="IU1" t="s">
        <v>254</v>
      </c>
      <c r="IV1" t="s">
        <v>255</v>
      </c>
      <c r="IW1" t="s">
        <v>256</v>
      </c>
      <c r="IX1" t="s">
        <v>257</v>
      </c>
      <c r="IY1" t="s">
        <v>258</v>
      </c>
      <c r="IZ1" t="s">
        <v>259</v>
      </c>
      <c r="JA1" t="s">
        <v>260</v>
      </c>
      <c r="JB1" t="s">
        <v>261</v>
      </c>
      <c r="JC1" t="s">
        <v>262</v>
      </c>
      <c r="JD1" t="s">
        <v>263</v>
      </c>
      <c r="JE1" t="s">
        <v>264</v>
      </c>
      <c r="JF1" t="s">
        <v>265</v>
      </c>
      <c r="JG1" t="s">
        <v>266</v>
      </c>
      <c r="JH1" t="s">
        <v>267</v>
      </c>
      <c r="JI1" t="s">
        <v>268</v>
      </c>
      <c r="JJ1" t="s">
        <v>269</v>
      </c>
      <c r="JK1" t="s">
        <v>270</v>
      </c>
      <c r="JL1" t="s">
        <v>271</v>
      </c>
      <c r="JM1" t="s">
        <v>272</v>
      </c>
      <c r="JN1" t="s">
        <v>273</v>
      </c>
      <c r="JO1" t="s">
        <v>274</v>
      </c>
      <c r="JP1" t="s">
        <v>275</v>
      </c>
      <c r="JQ1" t="s">
        <v>276</v>
      </c>
      <c r="JR1" t="s">
        <v>277</v>
      </c>
      <c r="JS1" t="s">
        <v>278</v>
      </c>
      <c r="JT1" t="s">
        <v>279</v>
      </c>
      <c r="JU1" t="s">
        <v>280</v>
      </c>
      <c r="JV1" t="s">
        <v>281</v>
      </c>
      <c r="JW1" t="s">
        <v>282</v>
      </c>
    </row>
    <row r="2" spans="1:283" x14ac:dyDescent="0.25">
      <c r="A2">
        <v>156275</v>
      </c>
      <c r="B2">
        <v>146682</v>
      </c>
      <c r="C2" t="str">
        <f>"120411603369"</f>
        <v>120411603369</v>
      </c>
      <c r="D2" t="s">
        <v>283</v>
      </c>
      <c r="E2" t="s">
        <v>284</v>
      </c>
      <c r="F2" t="s">
        <v>285</v>
      </c>
      <c r="G2" s="1">
        <v>41010</v>
      </c>
      <c r="I2" t="s">
        <v>286</v>
      </c>
      <c r="J2" t="s">
        <v>287</v>
      </c>
      <c r="K2" t="s">
        <v>288</v>
      </c>
      <c r="Q2" t="s">
        <v>289</v>
      </c>
      <c r="R2" t="str">
        <f>"КАЗАХСТАН, АКМОЛИНСКАЯ, ЗЕРЕНДИНСКИЙ РАЙОН, ЗЕРЕНДА, 47"</f>
        <v>КАЗАХСТАН, АКМОЛИНСКАЯ, ЗЕРЕНДИНСКИЙ РАЙОН, ЗЕРЕНДА, 47</v>
      </c>
      <c r="S2" t="str">
        <f>"ҚАЗАҚСТАН, АҚМОЛА, ЗЕРЕНДІ АУДАНЫ, ЗЕРЕНДА, 47"</f>
        <v>ҚАЗАҚСТАН, АҚМОЛА, ЗЕРЕНДІ АУДАНЫ, ЗЕРЕНДА, 47</v>
      </c>
      <c r="T2" t="str">
        <f>"ЗЕРЕНДА, 47"</f>
        <v>ЗЕРЕНДА, 47</v>
      </c>
      <c r="U2" t="str">
        <f>"ЗЕРЕНДА, 47"</f>
        <v>ЗЕРЕНДА, 47</v>
      </c>
      <c r="AC2" t="str">
        <f>"2017-08-25T00:00:00"</f>
        <v>2017-08-25T00:00:00</v>
      </c>
      <c r="AD2" t="str">
        <f>"35"</f>
        <v>35</v>
      </c>
      <c r="AE2" t="str">
        <f>"2024-09-01T22:39:44"</f>
        <v>2024-09-01T22:39:44</v>
      </c>
      <c r="AF2" t="str">
        <f>"2025-05-25T22:39:44"</f>
        <v>2025-05-25T22:39:44</v>
      </c>
      <c r="AG2" t="s">
        <v>290</v>
      </c>
      <c r="AI2" t="s">
        <v>291</v>
      </c>
      <c r="AK2" t="s">
        <v>292</v>
      </c>
      <c r="AP2" t="s">
        <v>293</v>
      </c>
      <c r="AT2" t="s">
        <v>294</v>
      </c>
      <c r="AU2" t="s">
        <v>295</v>
      </c>
      <c r="AW2" t="s">
        <v>296</v>
      </c>
      <c r="AX2">
        <v>2</v>
      </c>
      <c r="AY2" t="s">
        <v>297</v>
      </c>
      <c r="AZ2" t="s">
        <v>298</v>
      </c>
      <c r="BA2" t="s">
        <v>299</v>
      </c>
      <c r="BF2" t="s">
        <v>294</v>
      </c>
      <c r="BG2" t="s">
        <v>300</v>
      </c>
      <c r="BI2" t="s">
        <v>298</v>
      </c>
      <c r="BR2" t="s">
        <v>289</v>
      </c>
      <c r="BS2" t="s">
        <v>301</v>
      </c>
      <c r="BT2" t="s">
        <v>302</v>
      </c>
      <c r="BU2" t="s">
        <v>303</v>
      </c>
      <c r="BV2" t="s">
        <v>304</v>
      </c>
      <c r="BX2" t="s">
        <v>305</v>
      </c>
      <c r="BY2" t="s">
        <v>298</v>
      </c>
      <c r="BZ2" t="s">
        <v>306</v>
      </c>
      <c r="CA2" t="s">
        <v>307</v>
      </c>
      <c r="CC2" t="s">
        <v>308</v>
      </c>
      <c r="CD2" t="s">
        <v>309</v>
      </c>
      <c r="CE2" t="s">
        <v>294</v>
      </c>
      <c r="CH2" t="s">
        <v>304</v>
      </c>
      <c r="CI2" t="s">
        <v>304</v>
      </c>
      <c r="CK2" t="s">
        <v>310</v>
      </c>
      <c r="CL2" t="s">
        <v>311</v>
      </c>
      <c r="CM2" t="s">
        <v>298</v>
      </c>
      <c r="CO2" t="s">
        <v>312</v>
      </c>
      <c r="CT2" t="s">
        <v>294</v>
      </c>
      <c r="CU2" t="s">
        <v>313</v>
      </c>
      <c r="CV2" t="s">
        <v>314</v>
      </c>
      <c r="CW2" t="s">
        <v>315</v>
      </c>
      <c r="CX2" t="s">
        <v>316</v>
      </c>
      <c r="CZ2" t="s">
        <v>289</v>
      </c>
      <c r="DA2" t="s">
        <v>289</v>
      </c>
      <c r="DB2" t="s">
        <v>289</v>
      </c>
      <c r="DC2" t="s">
        <v>289</v>
      </c>
      <c r="DI2" t="s">
        <v>289</v>
      </c>
      <c r="DL2" t="s">
        <v>289</v>
      </c>
      <c r="DM2" t="s">
        <v>317</v>
      </c>
      <c r="DS2" t="s">
        <v>289</v>
      </c>
      <c r="DT2" t="s">
        <v>289</v>
      </c>
      <c r="DU2" t="s">
        <v>318</v>
      </c>
      <c r="DV2" t="s">
        <v>289</v>
      </c>
      <c r="DX2" t="s">
        <v>319</v>
      </c>
      <c r="EA2" t="s">
        <v>289</v>
      </c>
    </row>
    <row r="3" spans="1:283" x14ac:dyDescent="0.25">
      <c r="A3">
        <v>156288</v>
      </c>
      <c r="B3">
        <v>146692</v>
      </c>
      <c r="C3" t="str">
        <f>"110824601703"</f>
        <v>110824601703</v>
      </c>
      <c r="D3" t="s">
        <v>320</v>
      </c>
      <c r="E3" t="s">
        <v>321</v>
      </c>
      <c r="F3" t="s">
        <v>322</v>
      </c>
      <c r="G3" s="1">
        <v>40779</v>
      </c>
      <c r="I3" t="s">
        <v>286</v>
      </c>
      <c r="J3" t="s">
        <v>287</v>
      </c>
      <c r="K3" t="s">
        <v>288</v>
      </c>
      <c r="Q3" t="s">
        <v>289</v>
      </c>
      <c r="R3" t="str">
        <f>"КАЗАХСТАН, АКМОЛИНСКАЯ, ЗЕРЕНДИНСКИЙ РАЙОН, Зерендинский, Зеренда, 17, 2"</f>
        <v>КАЗАХСТАН, АКМОЛИНСКАЯ, ЗЕРЕНДИНСКИЙ РАЙОН, Зерендинский, Зеренда, 17, 2</v>
      </c>
      <c r="S3" t="str">
        <f>"ҚАЗАҚСТАН, АҚМОЛА, ЗЕРЕНДІ АУДАНЫ, Зерендинский, Зеренда, 17, 2"</f>
        <v>ҚАЗАҚСТАН, АҚМОЛА, ЗЕРЕНДІ АУДАНЫ, Зерендинский, Зеренда, 17, 2</v>
      </c>
      <c r="T3" t="str">
        <f>"Зерендинский, Зеренда, 17, 2"</f>
        <v>Зерендинский, Зеренда, 17, 2</v>
      </c>
      <c r="U3" t="str">
        <f>"Зерендинский, Зеренда, 17, 2"</f>
        <v>Зерендинский, Зеренда, 17, 2</v>
      </c>
      <c r="AC3" t="str">
        <f>"2017-08-25T00:00:00"</f>
        <v>2017-08-25T00:00:00</v>
      </c>
      <c r="AD3" t="str">
        <f>"35"</f>
        <v>35</v>
      </c>
      <c r="AE3" t="str">
        <f>"2024-09-01T22:39:44"</f>
        <v>2024-09-01T22:39:44</v>
      </c>
      <c r="AF3" t="str">
        <f>"2025-05-25T22:39:44"</f>
        <v>2025-05-25T22:39:44</v>
      </c>
      <c r="AG3" t="s">
        <v>290</v>
      </c>
      <c r="AI3" t="s">
        <v>291</v>
      </c>
      <c r="AK3" t="s">
        <v>292</v>
      </c>
      <c r="AP3" t="s">
        <v>293</v>
      </c>
      <c r="AT3" t="s">
        <v>294</v>
      </c>
      <c r="AU3" t="s">
        <v>295</v>
      </c>
      <c r="AW3" t="s">
        <v>296</v>
      </c>
      <c r="AX3">
        <v>2</v>
      </c>
      <c r="AY3" t="s">
        <v>297</v>
      </c>
      <c r="AZ3" t="s">
        <v>298</v>
      </c>
      <c r="BA3" t="s">
        <v>323</v>
      </c>
      <c r="BF3" t="s">
        <v>294</v>
      </c>
      <c r="BG3" t="s">
        <v>300</v>
      </c>
      <c r="BI3" t="s">
        <v>298</v>
      </c>
      <c r="BR3" t="s">
        <v>289</v>
      </c>
      <c r="BS3" t="s">
        <v>301</v>
      </c>
      <c r="BT3" t="s">
        <v>302</v>
      </c>
      <c r="BU3" t="s">
        <v>303</v>
      </c>
      <c r="BV3" t="s">
        <v>304</v>
      </c>
      <c r="BX3" t="s">
        <v>324</v>
      </c>
      <c r="BY3" t="s">
        <v>298</v>
      </c>
      <c r="BZ3" t="s">
        <v>306</v>
      </c>
      <c r="CA3" t="s">
        <v>325</v>
      </c>
      <c r="CC3" t="s">
        <v>308</v>
      </c>
      <c r="CD3" t="s">
        <v>309</v>
      </c>
      <c r="CE3" t="s">
        <v>294</v>
      </c>
      <c r="CH3" t="s">
        <v>304</v>
      </c>
      <c r="CI3" t="s">
        <v>304</v>
      </c>
      <c r="CK3" t="s">
        <v>326</v>
      </c>
      <c r="CL3" t="s">
        <v>311</v>
      </c>
      <c r="CM3" t="s">
        <v>327</v>
      </c>
      <c r="CN3" t="s">
        <v>328</v>
      </c>
      <c r="CO3" t="s">
        <v>312</v>
      </c>
      <c r="CT3" t="s">
        <v>294</v>
      </c>
      <c r="CU3" t="s">
        <v>313</v>
      </c>
      <c r="CV3" t="s">
        <v>314</v>
      </c>
      <c r="CW3" t="s">
        <v>315</v>
      </c>
      <c r="CX3" t="s">
        <v>316</v>
      </c>
      <c r="CZ3" t="s">
        <v>289</v>
      </c>
      <c r="DA3" t="s">
        <v>289</v>
      </c>
      <c r="DB3" t="s">
        <v>289</v>
      </c>
      <c r="DC3" t="s">
        <v>289</v>
      </c>
      <c r="DI3" t="s">
        <v>289</v>
      </c>
      <c r="DL3" t="s">
        <v>289</v>
      </c>
      <c r="DM3" t="s">
        <v>317</v>
      </c>
      <c r="DS3" t="s">
        <v>289</v>
      </c>
      <c r="DT3" t="s">
        <v>289</v>
      </c>
      <c r="DU3" t="s">
        <v>318</v>
      </c>
      <c r="DV3" t="s">
        <v>289</v>
      </c>
      <c r="DX3" t="s">
        <v>319</v>
      </c>
      <c r="EA3" t="s">
        <v>289</v>
      </c>
    </row>
    <row r="4" spans="1:283" x14ac:dyDescent="0.25">
      <c r="A4">
        <v>156298</v>
      </c>
      <c r="B4">
        <v>146700</v>
      </c>
      <c r="C4" t="str">
        <f>"101210601598"</f>
        <v>101210601598</v>
      </c>
      <c r="D4" t="s">
        <v>329</v>
      </c>
      <c r="E4" t="s">
        <v>330</v>
      </c>
      <c r="F4" t="s">
        <v>331</v>
      </c>
      <c r="G4" s="1">
        <v>40522</v>
      </c>
      <c r="I4" t="s">
        <v>286</v>
      </c>
      <c r="J4" t="s">
        <v>287</v>
      </c>
      <c r="K4" t="s">
        <v>288</v>
      </c>
      <c r="Q4" t="s">
        <v>289</v>
      </c>
      <c r="R4" t="str">
        <f>"КАЗАХСТАН, АКМОЛИНСКАЯ, ЗЕРЕНДИНСКИЙ РАЙОН, Зерендинский, Зеренда, 3"</f>
        <v>КАЗАХСТАН, АКМОЛИНСКАЯ, ЗЕРЕНДИНСКИЙ РАЙОН, Зерендинский, Зеренда, 3</v>
      </c>
      <c r="S4" t="str">
        <f>"ҚАЗАҚСТАН, АҚМОЛА, ЗЕРЕНДІ АУДАНЫ, Зерендинский, Зеренда, 3"</f>
        <v>ҚАЗАҚСТАН, АҚМОЛА, ЗЕРЕНДІ АУДАНЫ, Зерендинский, Зеренда, 3</v>
      </c>
      <c r="T4" t="str">
        <f>"Зерендинский, Зеренда, 3"</f>
        <v>Зерендинский, Зеренда, 3</v>
      </c>
      <c r="U4" t="str">
        <f>"Зерендинский, Зеренда, 3"</f>
        <v>Зерендинский, Зеренда, 3</v>
      </c>
      <c r="AC4" t="str">
        <f>"2016-09-01T00:00:00"</f>
        <v>2016-09-01T00:00:00</v>
      </c>
      <c r="AD4" t="str">
        <f>"1"</f>
        <v>1</v>
      </c>
      <c r="AE4" t="str">
        <f>"2024-09-01T22:50:38"</f>
        <v>2024-09-01T22:50:38</v>
      </c>
      <c r="AF4" t="str">
        <f>"2025-05-25T22:50:38"</f>
        <v>2025-05-25T22:50:38</v>
      </c>
      <c r="AG4" t="s">
        <v>290</v>
      </c>
      <c r="AH4" t="str">
        <f>"alina@mail.ru"</f>
        <v>alina@mail.ru</v>
      </c>
      <c r="AI4" t="s">
        <v>291</v>
      </c>
      <c r="AK4" t="s">
        <v>332</v>
      </c>
      <c r="AP4" t="s">
        <v>293</v>
      </c>
      <c r="AT4" t="s">
        <v>294</v>
      </c>
      <c r="AU4" t="s">
        <v>295</v>
      </c>
      <c r="AW4" t="s">
        <v>296</v>
      </c>
      <c r="AX4">
        <v>1</v>
      </c>
      <c r="AY4" t="s">
        <v>297</v>
      </c>
      <c r="AZ4" t="s">
        <v>298</v>
      </c>
      <c r="BA4" t="s">
        <v>323</v>
      </c>
      <c r="BF4" t="s">
        <v>294</v>
      </c>
      <c r="BG4" t="s">
        <v>300</v>
      </c>
      <c r="BI4" t="s">
        <v>298</v>
      </c>
      <c r="BR4" t="s">
        <v>289</v>
      </c>
      <c r="BS4" t="s">
        <v>301</v>
      </c>
      <c r="BT4" t="s">
        <v>302</v>
      </c>
      <c r="BU4" t="s">
        <v>303</v>
      </c>
      <c r="BV4" t="s">
        <v>304</v>
      </c>
      <c r="BX4" t="s">
        <v>305</v>
      </c>
      <c r="BY4" t="s">
        <v>298</v>
      </c>
      <c r="BZ4" t="s">
        <v>333</v>
      </c>
      <c r="CA4" t="s">
        <v>334</v>
      </c>
      <c r="CC4" t="s">
        <v>308</v>
      </c>
      <c r="CD4" t="s">
        <v>309</v>
      </c>
      <c r="CE4" t="s">
        <v>294</v>
      </c>
      <c r="CH4" t="s">
        <v>304</v>
      </c>
      <c r="CI4" t="s">
        <v>304</v>
      </c>
      <c r="CK4" t="s">
        <v>335</v>
      </c>
      <c r="CM4" t="s">
        <v>327</v>
      </c>
      <c r="CN4" t="s">
        <v>328</v>
      </c>
      <c r="CO4" t="s">
        <v>312</v>
      </c>
      <c r="CT4" t="s">
        <v>294</v>
      </c>
      <c r="CU4" t="s">
        <v>336</v>
      </c>
      <c r="CV4" t="s">
        <v>337</v>
      </c>
      <c r="CW4" t="s">
        <v>338</v>
      </c>
      <c r="CX4" t="s">
        <v>316</v>
      </c>
      <c r="CZ4" t="s">
        <v>289</v>
      </c>
      <c r="DA4" t="s">
        <v>289</v>
      </c>
      <c r="DB4" t="s">
        <v>289</v>
      </c>
      <c r="DC4" t="s">
        <v>289</v>
      </c>
      <c r="DI4" t="s">
        <v>289</v>
      </c>
      <c r="DL4" t="s">
        <v>289</v>
      </c>
      <c r="DM4" t="s">
        <v>317</v>
      </c>
      <c r="DS4" t="s">
        <v>289</v>
      </c>
      <c r="DT4" t="s">
        <v>289</v>
      </c>
      <c r="DU4" t="s">
        <v>318</v>
      </c>
      <c r="DV4" t="s">
        <v>289</v>
      </c>
      <c r="DX4" t="s">
        <v>319</v>
      </c>
      <c r="EA4" t="s">
        <v>289</v>
      </c>
    </row>
    <row r="5" spans="1:283" x14ac:dyDescent="0.25">
      <c r="A5">
        <v>156323</v>
      </c>
      <c r="B5">
        <v>146719</v>
      </c>
      <c r="C5" t="str">
        <f>"100307652468"</f>
        <v>100307652468</v>
      </c>
      <c r="D5" t="s">
        <v>339</v>
      </c>
      <c r="E5" t="s">
        <v>340</v>
      </c>
      <c r="F5" t="s">
        <v>341</v>
      </c>
      <c r="G5" s="1">
        <v>40244</v>
      </c>
      <c r="I5" t="s">
        <v>286</v>
      </c>
      <c r="J5" t="s">
        <v>287</v>
      </c>
      <c r="K5" t="s">
        <v>288</v>
      </c>
      <c r="Q5" t="s">
        <v>289</v>
      </c>
      <c r="R5" t="str">
        <f>"КАЗАХСТАН, АКМОЛИНСКАЯ, ЗЕРЕНДИНСКИЙ РАЙОН, Зерендинский, Зеренда, 41"</f>
        <v>КАЗАХСТАН, АКМОЛИНСКАЯ, ЗЕРЕНДИНСКИЙ РАЙОН, Зерендинский, Зеренда, 41</v>
      </c>
      <c r="S5" t="str">
        <f>"ҚАЗАҚСТАН, АҚМОЛА, ЗЕРЕНДІ АУДАНЫ, Зерендинский, Зеренда, 41"</f>
        <v>ҚАЗАҚСТАН, АҚМОЛА, ЗЕРЕНДІ АУДАНЫ, Зерендинский, Зеренда, 41</v>
      </c>
      <c r="T5" t="str">
        <f>"Зерендинский, Зеренда, 41"</f>
        <v>Зерендинский, Зеренда, 41</v>
      </c>
      <c r="U5" t="str">
        <f>"Зерендинский, Зеренда, 41"</f>
        <v>Зерендинский, Зеренда, 41</v>
      </c>
      <c r="AC5" t="str">
        <f>"2016-09-01T00:00:00"</f>
        <v>2016-09-01T00:00:00</v>
      </c>
      <c r="AD5" t="str">
        <f>"1"</f>
        <v>1</v>
      </c>
      <c r="AE5" t="str">
        <f>"2024-09-01T22:50:51"</f>
        <v>2024-09-01T22:50:51</v>
      </c>
      <c r="AF5" t="str">
        <f>"2025-05-25T22:50:51"</f>
        <v>2025-05-25T22:50:51</v>
      </c>
      <c r="AG5" t="s">
        <v>290</v>
      </c>
      <c r="AH5" t="str">
        <f>"Nazerke@mail.ru"</f>
        <v>Nazerke@mail.ru</v>
      </c>
      <c r="AI5" t="s">
        <v>291</v>
      </c>
      <c r="AK5" t="s">
        <v>332</v>
      </c>
      <c r="AP5" t="s">
        <v>342</v>
      </c>
      <c r="AT5" t="s">
        <v>294</v>
      </c>
      <c r="AU5" t="s">
        <v>295</v>
      </c>
      <c r="AW5" t="s">
        <v>296</v>
      </c>
      <c r="AX5">
        <v>1</v>
      </c>
      <c r="AY5" t="s">
        <v>297</v>
      </c>
      <c r="AZ5" t="s">
        <v>298</v>
      </c>
      <c r="BA5" t="s">
        <v>323</v>
      </c>
      <c r="BF5" t="s">
        <v>294</v>
      </c>
      <c r="BG5" t="s">
        <v>300</v>
      </c>
      <c r="BI5" t="s">
        <v>298</v>
      </c>
      <c r="BR5" t="s">
        <v>289</v>
      </c>
      <c r="BS5" t="s">
        <v>301</v>
      </c>
      <c r="BT5" t="s">
        <v>302</v>
      </c>
      <c r="BU5" t="s">
        <v>303</v>
      </c>
      <c r="BV5" t="s">
        <v>304</v>
      </c>
      <c r="BX5" t="s">
        <v>324</v>
      </c>
      <c r="BY5" t="s">
        <v>298</v>
      </c>
      <c r="BZ5" t="s">
        <v>343</v>
      </c>
      <c r="CA5">
        <v>4</v>
      </c>
      <c r="CC5" t="s">
        <v>308</v>
      </c>
      <c r="CD5" t="s">
        <v>309</v>
      </c>
      <c r="CE5" t="s">
        <v>294</v>
      </c>
      <c r="CH5" t="s">
        <v>304</v>
      </c>
      <c r="CI5" t="s">
        <v>304</v>
      </c>
      <c r="CK5" t="s">
        <v>344</v>
      </c>
      <c r="CL5" t="s">
        <v>345</v>
      </c>
      <c r="CM5" t="s">
        <v>327</v>
      </c>
      <c r="CN5" t="s">
        <v>328</v>
      </c>
      <c r="CO5" t="s">
        <v>312</v>
      </c>
      <c r="CT5" t="s">
        <v>294</v>
      </c>
      <c r="CU5" t="s">
        <v>313</v>
      </c>
      <c r="CV5" t="s">
        <v>314</v>
      </c>
      <c r="CW5" t="s">
        <v>315</v>
      </c>
      <c r="CX5" t="s">
        <v>316</v>
      </c>
      <c r="CZ5" t="s">
        <v>289</v>
      </c>
      <c r="DA5" t="s">
        <v>289</v>
      </c>
      <c r="DB5" t="s">
        <v>289</v>
      </c>
      <c r="DC5" t="s">
        <v>289</v>
      </c>
      <c r="DI5" t="s">
        <v>289</v>
      </c>
      <c r="DL5" t="s">
        <v>289</v>
      </c>
      <c r="DM5" t="s">
        <v>317</v>
      </c>
      <c r="DS5" t="s">
        <v>289</v>
      </c>
      <c r="DT5" t="s">
        <v>289</v>
      </c>
      <c r="DU5" t="s">
        <v>318</v>
      </c>
      <c r="DV5" t="s">
        <v>289</v>
      </c>
      <c r="DX5" t="s">
        <v>319</v>
      </c>
      <c r="EA5" t="s">
        <v>289</v>
      </c>
    </row>
    <row r="6" spans="1:283" x14ac:dyDescent="0.25">
      <c r="A6">
        <v>156328</v>
      </c>
      <c r="B6">
        <v>146724</v>
      </c>
      <c r="C6" t="str">
        <f>"100215651122"</f>
        <v>100215651122</v>
      </c>
      <c r="D6" t="s">
        <v>346</v>
      </c>
      <c r="E6" t="s">
        <v>347</v>
      </c>
      <c r="F6" t="s">
        <v>348</v>
      </c>
      <c r="G6" s="1">
        <v>40224</v>
      </c>
      <c r="I6" t="s">
        <v>286</v>
      </c>
      <c r="J6" t="s">
        <v>287</v>
      </c>
      <c r="K6" t="s">
        <v>288</v>
      </c>
      <c r="Q6" t="s">
        <v>289</v>
      </c>
      <c r="R6" t="str">
        <f>"КАЗАХСТАН, АКМОЛИНСКАЯ, ЗЕРЕНДИНСКИЙ РАЙОН, ЗЕРЕНДА, 14, 4"</f>
        <v>КАЗАХСТАН, АКМОЛИНСКАЯ, ЗЕРЕНДИНСКИЙ РАЙОН, ЗЕРЕНДА, 14, 4</v>
      </c>
      <c r="S6" t="str">
        <f>"ҚАЗАҚСТАН, АҚМОЛА, ЗЕРЕНДІ АУДАНЫ, ЗЕРЕНДА, 14, 4"</f>
        <v>ҚАЗАҚСТАН, АҚМОЛА, ЗЕРЕНДІ АУДАНЫ, ЗЕРЕНДА, 14, 4</v>
      </c>
      <c r="T6" t="str">
        <f>"ЗЕРЕНДА, 14, 4"</f>
        <v>ЗЕРЕНДА, 14, 4</v>
      </c>
      <c r="U6" t="str">
        <f>"ЗЕРЕНДА, 14, 4"</f>
        <v>ЗЕРЕНДА, 14, 4</v>
      </c>
      <c r="AC6" t="str">
        <f>"2016-09-01T00:00:00"</f>
        <v>2016-09-01T00:00:00</v>
      </c>
      <c r="AD6" t="str">
        <f>"1"</f>
        <v>1</v>
      </c>
      <c r="AE6" t="str">
        <f>"2024-09-01T22:50:59"</f>
        <v>2024-09-01T22:50:59</v>
      </c>
      <c r="AF6" t="str">
        <f>"2025-05-25T22:50:59"</f>
        <v>2025-05-25T22:50:59</v>
      </c>
      <c r="AG6" t="s">
        <v>290</v>
      </c>
      <c r="AH6" t="str">
        <f>"Gulnaz_10@mail.ru"</f>
        <v>Gulnaz_10@mail.ru</v>
      </c>
      <c r="AI6" t="s">
        <v>291</v>
      </c>
      <c r="AK6" t="s">
        <v>332</v>
      </c>
      <c r="AP6" t="s">
        <v>342</v>
      </c>
      <c r="AT6" t="s">
        <v>294</v>
      </c>
      <c r="AU6" t="s">
        <v>295</v>
      </c>
      <c r="AW6" t="s">
        <v>296</v>
      </c>
      <c r="AX6">
        <v>1</v>
      </c>
      <c r="AY6" t="s">
        <v>297</v>
      </c>
      <c r="AZ6" t="s">
        <v>298</v>
      </c>
      <c r="BA6" t="s">
        <v>349</v>
      </c>
      <c r="BF6" t="s">
        <v>294</v>
      </c>
      <c r="BG6" t="s">
        <v>300</v>
      </c>
      <c r="BI6" t="s">
        <v>298</v>
      </c>
      <c r="BR6" t="s">
        <v>289</v>
      </c>
      <c r="BS6" t="s">
        <v>301</v>
      </c>
      <c r="BT6" t="s">
        <v>302</v>
      </c>
      <c r="BU6" t="s">
        <v>303</v>
      </c>
      <c r="BV6" t="s">
        <v>304</v>
      </c>
      <c r="BX6" t="s">
        <v>324</v>
      </c>
      <c r="BY6" t="s">
        <v>298</v>
      </c>
      <c r="BZ6" t="s">
        <v>343</v>
      </c>
      <c r="CA6">
        <v>4</v>
      </c>
      <c r="CC6" t="s">
        <v>308</v>
      </c>
      <c r="CD6" t="s">
        <v>309</v>
      </c>
      <c r="CE6" t="s">
        <v>294</v>
      </c>
      <c r="CH6" t="s">
        <v>304</v>
      </c>
      <c r="CI6" t="s">
        <v>304</v>
      </c>
      <c r="CK6" t="s">
        <v>327</v>
      </c>
      <c r="CL6" t="s">
        <v>328</v>
      </c>
      <c r="CM6" t="s">
        <v>327</v>
      </c>
      <c r="CN6" t="s">
        <v>328</v>
      </c>
      <c r="CO6" t="s">
        <v>312</v>
      </c>
      <c r="CT6" t="s">
        <v>294</v>
      </c>
      <c r="CU6" t="s">
        <v>313</v>
      </c>
      <c r="CV6" t="s">
        <v>314</v>
      </c>
      <c r="CW6" t="s">
        <v>315</v>
      </c>
      <c r="CX6" t="s">
        <v>316</v>
      </c>
      <c r="CZ6" t="s">
        <v>289</v>
      </c>
      <c r="DA6" t="s">
        <v>289</v>
      </c>
      <c r="DB6" t="s">
        <v>289</v>
      </c>
      <c r="DC6" t="s">
        <v>289</v>
      </c>
      <c r="DI6" t="s">
        <v>289</v>
      </c>
      <c r="DL6" t="s">
        <v>289</v>
      </c>
      <c r="DM6" t="s">
        <v>317</v>
      </c>
      <c r="DS6" t="s">
        <v>289</v>
      </c>
      <c r="DT6" t="s">
        <v>289</v>
      </c>
      <c r="DU6" t="s">
        <v>318</v>
      </c>
      <c r="DV6" t="s">
        <v>289</v>
      </c>
      <c r="DX6" t="s">
        <v>319</v>
      </c>
      <c r="EA6" t="s">
        <v>289</v>
      </c>
    </row>
    <row r="7" spans="1:283" x14ac:dyDescent="0.25">
      <c r="A7">
        <v>156332</v>
      </c>
      <c r="B7">
        <v>146730</v>
      </c>
      <c r="C7" t="str">
        <f>"100714551347"</f>
        <v>100714551347</v>
      </c>
      <c r="D7" t="s">
        <v>350</v>
      </c>
      <c r="E7" t="s">
        <v>351</v>
      </c>
      <c r="F7" t="s">
        <v>352</v>
      </c>
      <c r="G7" s="1">
        <v>40373</v>
      </c>
      <c r="I7" t="s">
        <v>353</v>
      </c>
      <c r="J7" t="s">
        <v>287</v>
      </c>
      <c r="K7" t="s">
        <v>288</v>
      </c>
      <c r="Q7" t="s">
        <v>289</v>
      </c>
      <c r="R7" t="str">
        <f>"КАЗАХСТАН, АКМОЛИНСКАЯ, ЗЕРЕНДИНСКИЙ РАЙОН, Зерендинский, Зеренда, 59"</f>
        <v>КАЗАХСТАН, АКМОЛИНСКАЯ, ЗЕРЕНДИНСКИЙ РАЙОН, Зерендинский, Зеренда, 59</v>
      </c>
      <c r="S7" t="str">
        <f>"ҚАЗАҚСТАН, АҚМОЛА, ЗЕРЕНДІ АУДАНЫ, Зерендинский, Зеренда, 59"</f>
        <v>ҚАЗАҚСТАН, АҚМОЛА, ЗЕРЕНДІ АУДАНЫ, Зерендинский, Зеренда, 59</v>
      </c>
      <c r="T7" t="str">
        <f>"Зерендинский, Зеренда, 59"</f>
        <v>Зерендинский, Зеренда, 59</v>
      </c>
      <c r="U7" t="str">
        <f>"Зерендинский, Зеренда, 59"</f>
        <v>Зерендинский, Зеренда, 59</v>
      </c>
      <c r="AC7" t="str">
        <f>"2016-09-01T00:00:00"</f>
        <v>2016-09-01T00:00:00</v>
      </c>
      <c r="AD7" t="str">
        <f>"1"</f>
        <v>1</v>
      </c>
      <c r="AE7" t="str">
        <f>"2024-09-01T22:51:02"</f>
        <v>2024-09-01T22:51:02</v>
      </c>
      <c r="AF7" t="str">
        <f>"2025-05-25T22:51:02"</f>
        <v>2025-05-25T22:51:02</v>
      </c>
      <c r="AG7" t="s">
        <v>290</v>
      </c>
      <c r="AH7" t="str">
        <f>"mansur@mail.ru"</f>
        <v>mansur@mail.ru</v>
      </c>
      <c r="AI7" t="s">
        <v>291</v>
      </c>
      <c r="AK7" t="s">
        <v>332</v>
      </c>
      <c r="AP7" t="s">
        <v>293</v>
      </c>
      <c r="AT7" t="s">
        <v>294</v>
      </c>
      <c r="AU7" t="s">
        <v>295</v>
      </c>
      <c r="AW7" t="s">
        <v>296</v>
      </c>
      <c r="AX7">
        <v>1</v>
      </c>
      <c r="AY7" t="s">
        <v>297</v>
      </c>
      <c r="AZ7" t="s">
        <v>298</v>
      </c>
      <c r="BA7" t="s">
        <v>323</v>
      </c>
      <c r="BF7" t="s">
        <v>294</v>
      </c>
      <c r="BG7" t="s">
        <v>300</v>
      </c>
      <c r="BI7" t="s">
        <v>298</v>
      </c>
      <c r="BR7" t="s">
        <v>289</v>
      </c>
      <c r="BS7" t="s">
        <v>301</v>
      </c>
      <c r="BT7" t="s">
        <v>302</v>
      </c>
      <c r="BU7" t="s">
        <v>303</v>
      </c>
      <c r="BV7" t="s">
        <v>304</v>
      </c>
      <c r="BX7" t="s">
        <v>324</v>
      </c>
      <c r="BY7" t="s">
        <v>298</v>
      </c>
      <c r="BZ7" t="s">
        <v>333</v>
      </c>
      <c r="CA7" t="s">
        <v>325</v>
      </c>
      <c r="CC7" t="s">
        <v>308</v>
      </c>
      <c r="CD7" t="s">
        <v>309</v>
      </c>
      <c r="CE7" t="s">
        <v>294</v>
      </c>
      <c r="CH7" t="s">
        <v>304</v>
      </c>
      <c r="CI7" t="s">
        <v>304</v>
      </c>
      <c r="CK7" t="s">
        <v>335</v>
      </c>
      <c r="CM7" t="s">
        <v>354</v>
      </c>
      <c r="CN7" t="s">
        <v>311</v>
      </c>
      <c r="CO7" t="s">
        <v>312</v>
      </c>
      <c r="CT7" t="s">
        <v>294</v>
      </c>
      <c r="CU7" t="s">
        <v>313</v>
      </c>
      <c r="CV7" t="s">
        <v>314</v>
      </c>
      <c r="CW7" t="s">
        <v>315</v>
      </c>
      <c r="CX7" t="s">
        <v>316</v>
      </c>
      <c r="CZ7" t="s">
        <v>289</v>
      </c>
      <c r="DA7" t="s">
        <v>289</v>
      </c>
      <c r="DB7" t="s">
        <v>289</v>
      </c>
      <c r="DC7" t="s">
        <v>289</v>
      </c>
      <c r="DI7" t="s">
        <v>289</v>
      </c>
      <c r="DL7" t="s">
        <v>289</v>
      </c>
      <c r="DM7" t="s">
        <v>317</v>
      </c>
      <c r="DS7" t="s">
        <v>289</v>
      </c>
      <c r="DT7" t="s">
        <v>289</v>
      </c>
      <c r="DU7" t="s">
        <v>318</v>
      </c>
      <c r="DV7" t="s">
        <v>289</v>
      </c>
      <c r="DX7" t="s">
        <v>319</v>
      </c>
      <c r="EA7" t="s">
        <v>289</v>
      </c>
    </row>
    <row r="8" spans="1:283" x14ac:dyDescent="0.25">
      <c r="A8">
        <v>156338</v>
      </c>
      <c r="B8">
        <v>146734</v>
      </c>
      <c r="C8" t="str">
        <f>"110708602423"</f>
        <v>110708602423</v>
      </c>
      <c r="D8" t="s">
        <v>355</v>
      </c>
      <c r="E8" t="s">
        <v>356</v>
      </c>
      <c r="F8" t="s">
        <v>357</v>
      </c>
      <c r="G8" s="1">
        <v>40732</v>
      </c>
      <c r="I8" t="s">
        <v>286</v>
      </c>
      <c r="J8" t="s">
        <v>287</v>
      </c>
      <c r="K8" t="s">
        <v>288</v>
      </c>
      <c r="Q8" t="s">
        <v>289</v>
      </c>
      <c r="R8" t="str">
        <f>"КАЗАХСТАН, АКМОЛИНСКАЯ, ЗЕРЕНДИНСКИЙ РАЙОН, Зерендинский, Зеренда, 2"</f>
        <v>КАЗАХСТАН, АКМОЛИНСКАЯ, ЗЕРЕНДИНСКИЙ РАЙОН, Зерендинский, Зеренда, 2</v>
      </c>
      <c r="S8" t="str">
        <f>"ҚАЗАҚСТАН, АҚМОЛА, ЗЕРЕНДІ АУДАНЫ, Зерендинский, Зеренда, 2"</f>
        <v>ҚАЗАҚСТАН, АҚМОЛА, ЗЕРЕНДІ АУДАНЫ, Зерендинский, Зеренда, 2</v>
      </c>
      <c r="T8" t="str">
        <f>"Зерендинский, Зеренда, 2"</f>
        <v>Зерендинский, Зеренда, 2</v>
      </c>
      <c r="U8" t="str">
        <f>"Зерендинский, Зеренда, 2"</f>
        <v>Зерендинский, Зеренда, 2</v>
      </c>
      <c r="AC8" t="str">
        <f>"2017-08-23T00:00:00"</f>
        <v>2017-08-23T00:00:00</v>
      </c>
      <c r="AD8" t="str">
        <f>"33"</f>
        <v>33</v>
      </c>
      <c r="AE8" t="str">
        <f>"2024-09-01T22:39:57"</f>
        <v>2024-09-01T22:39:57</v>
      </c>
      <c r="AF8" t="str">
        <f>"2025-05-25T22:39:57"</f>
        <v>2025-05-25T22:39:57</v>
      </c>
      <c r="AG8" t="s">
        <v>290</v>
      </c>
      <c r="AI8" t="s">
        <v>291</v>
      </c>
      <c r="AK8" t="s">
        <v>292</v>
      </c>
      <c r="AP8" t="s">
        <v>293</v>
      </c>
      <c r="AT8" t="s">
        <v>294</v>
      </c>
      <c r="AU8" t="s">
        <v>295</v>
      </c>
      <c r="AW8" t="s">
        <v>296</v>
      </c>
      <c r="AX8">
        <v>2</v>
      </c>
      <c r="AY8" t="s">
        <v>297</v>
      </c>
      <c r="AZ8" t="s">
        <v>298</v>
      </c>
      <c r="BA8" t="s">
        <v>349</v>
      </c>
      <c r="BE8" t="str">
        <f>"2020-08-26T15:25:09"</f>
        <v>2020-08-26T15:25:09</v>
      </c>
      <c r="BF8" t="s">
        <v>294</v>
      </c>
      <c r="BG8" t="s">
        <v>300</v>
      </c>
      <c r="BI8" t="s">
        <v>298</v>
      </c>
      <c r="BR8" t="s">
        <v>289</v>
      </c>
      <c r="BS8" t="s">
        <v>301</v>
      </c>
      <c r="BT8" t="s">
        <v>302</v>
      </c>
      <c r="BU8" t="s">
        <v>303</v>
      </c>
      <c r="BV8" t="s">
        <v>304</v>
      </c>
      <c r="BX8" t="s">
        <v>305</v>
      </c>
      <c r="BY8" t="s">
        <v>298</v>
      </c>
      <c r="BZ8" t="s">
        <v>306</v>
      </c>
      <c r="CA8" t="s">
        <v>334</v>
      </c>
      <c r="CC8" t="s">
        <v>308</v>
      </c>
      <c r="CD8" t="s">
        <v>309</v>
      </c>
      <c r="CE8" t="s">
        <v>294</v>
      </c>
      <c r="CH8" t="s">
        <v>304</v>
      </c>
      <c r="CI8" t="s">
        <v>304</v>
      </c>
      <c r="CK8" t="s">
        <v>326</v>
      </c>
      <c r="CL8" t="s">
        <v>311</v>
      </c>
      <c r="CM8" t="s">
        <v>298</v>
      </c>
      <c r="CO8" t="s">
        <v>312</v>
      </c>
      <c r="CT8" t="s">
        <v>294</v>
      </c>
      <c r="CU8" t="s">
        <v>336</v>
      </c>
      <c r="CV8" t="s">
        <v>337</v>
      </c>
      <c r="CW8" t="s">
        <v>338</v>
      </c>
      <c r="CX8" t="s">
        <v>316</v>
      </c>
      <c r="CZ8" t="s">
        <v>289</v>
      </c>
      <c r="DA8" t="s">
        <v>289</v>
      </c>
      <c r="DB8" t="s">
        <v>289</v>
      </c>
      <c r="DC8" t="s">
        <v>289</v>
      </c>
      <c r="DI8" t="s">
        <v>289</v>
      </c>
      <c r="DL8" t="s">
        <v>289</v>
      </c>
      <c r="DM8" t="s">
        <v>317</v>
      </c>
      <c r="DS8" t="s">
        <v>289</v>
      </c>
      <c r="DT8" t="s">
        <v>289</v>
      </c>
      <c r="DU8" t="s">
        <v>318</v>
      </c>
      <c r="DV8" t="s">
        <v>289</v>
      </c>
      <c r="DX8" t="s">
        <v>319</v>
      </c>
      <c r="EA8" t="s">
        <v>289</v>
      </c>
    </row>
    <row r="9" spans="1:283" x14ac:dyDescent="0.25">
      <c r="A9">
        <v>156344</v>
      </c>
      <c r="B9">
        <v>146740</v>
      </c>
      <c r="C9" t="str">
        <f>"110204601148"</f>
        <v>110204601148</v>
      </c>
      <c r="D9" t="s">
        <v>358</v>
      </c>
      <c r="E9" t="s">
        <v>359</v>
      </c>
      <c r="F9" t="s">
        <v>360</v>
      </c>
      <c r="G9" s="1">
        <v>40578</v>
      </c>
      <c r="I9" t="s">
        <v>286</v>
      </c>
      <c r="J9" t="s">
        <v>287</v>
      </c>
      <c r="K9" t="s">
        <v>288</v>
      </c>
      <c r="Q9" t="s">
        <v>289</v>
      </c>
      <c r="R9" t="str">
        <f>"КАЗАХСТАН, АКМОЛИНСКАЯ, ЗЕРЕНДИНСКИЙ РАЙОН, Зерендинский, Зеренда, 6, 2"</f>
        <v>КАЗАХСТАН, АКМОЛИНСКАЯ, ЗЕРЕНДИНСКИЙ РАЙОН, Зерендинский, Зеренда, 6, 2</v>
      </c>
      <c r="S9" t="str">
        <f>"ҚАЗАҚСТАН, АҚМОЛА, ЗЕРЕНДІ АУДАНЫ, Зерендинский, Зеренда, 6, 2"</f>
        <v>ҚАЗАҚСТАН, АҚМОЛА, ЗЕРЕНДІ АУДАНЫ, Зерендинский, Зеренда, 6, 2</v>
      </c>
      <c r="T9" t="str">
        <f>"Зерендинский, Зеренда, 6, 2"</f>
        <v>Зерендинский, Зеренда, 6, 2</v>
      </c>
      <c r="U9" t="str">
        <f>"Зерендинский, Зеренда, 6, 2"</f>
        <v>Зерендинский, Зеренда, 6, 2</v>
      </c>
      <c r="AC9" t="str">
        <f>"2017-08-22T00:00:00"</f>
        <v>2017-08-22T00:00:00</v>
      </c>
      <c r="AD9" t="str">
        <f>"32"</f>
        <v>32</v>
      </c>
      <c r="AE9" t="str">
        <f>"2024-09-01T22:39:57"</f>
        <v>2024-09-01T22:39:57</v>
      </c>
      <c r="AF9" t="str">
        <f>"2025-05-25T22:39:57"</f>
        <v>2025-05-25T22:39:57</v>
      </c>
      <c r="AG9" t="s">
        <v>290</v>
      </c>
      <c r="AI9" t="s">
        <v>291</v>
      </c>
      <c r="AK9" t="s">
        <v>292</v>
      </c>
      <c r="AP9" t="s">
        <v>342</v>
      </c>
      <c r="AT9" t="s">
        <v>294</v>
      </c>
      <c r="AU9" t="s">
        <v>295</v>
      </c>
      <c r="AW9" t="s">
        <v>296</v>
      </c>
      <c r="AX9">
        <v>2</v>
      </c>
      <c r="AY9" t="s">
        <v>297</v>
      </c>
      <c r="AZ9" t="s">
        <v>298</v>
      </c>
      <c r="BA9" t="s">
        <v>349</v>
      </c>
      <c r="BF9" t="s">
        <v>294</v>
      </c>
      <c r="BG9" t="s">
        <v>300</v>
      </c>
      <c r="BI9" t="s">
        <v>298</v>
      </c>
      <c r="BR9" t="s">
        <v>289</v>
      </c>
      <c r="BS9" t="s">
        <v>301</v>
      </c>
      <c r="BT9" t="s">
        <v>302</v>
      </c>
      <c r="BU9" t="s">
        <v>303</v>
      </c>
      <c r="BV9" t="s">
        <v>304</v>
      </c>
      <c r="BX9" t="s">
        <v>324</v>
      </c>
      <c r="BY9" t="s">
        <v>298</v>
      </c>
      <c r="BZ9" t="s">
        <v>306</v>
      </c>
      <c r="CA9" t="s">
        <v>325</v>
      </c>
      <c r="CC9" t="s">
        <v>308</v>
      </c>
      <c r="CD9" t="s">
        <v>309</v>
      </c>
      <c r="CE9" t="s">
        <v>294</v>
      </c>
      <c r="CH9" t="s">
        <v>304</v>
      </c>
      <c r="CI9" t="s">
        <v>304</v>
      </c>
      <c r="CK9" t="s">
        <v>361</v>
      </c>
      <c r="CL9" t="s">
        <v>328</v>
      </c>
      <c r="CM9" t="s">
        <v>327</v>
      </c>
      <c r="CN9" t="s">
        <v>328</v>
      </c>
      <c r="CO9" t="s">
        <v>312</v>
      </c>
      <c r="CT9" t="s">
        <v>294</v>
      </c>
      <c r="CU9" t="s">
        <v>313</v>
      </c>
      <c r="CV9" t="s">
        <v>314</v>
      </c>
      <c r="CW9" t="s">
        <v>315</v>
      </c>
      <c r="CX9" t="s">
        <v>316</v>
      </c>
      <c r="CZ9" t="s">
        <v>289</v>
      </c>
      <c r="DA9" t="s">
        <v>289</v>
      </c>
      <c r="DB9" t="s">
        <v>289</v>
      </c>
      <c r="DC9" t="s">
        <v>289</v>
      </c>
      <c r="DI9" t="s">
        <v>289</v>
      </c>
      <c r="DL9" t="s">
        <v>289</v>
      </c>
      <c r="DM9" t="s">
        <v>317</v>
      </c>
      <c r="DS9" t="s">
        <v>289</v>
      </c>
      <c r="DT9" t="s">
        <v>289</v>
      </c>
      <c r="DU9" t="s">
        <v>318</v>
      </c>
      <c r="DV9" t="s">
        <v>289</v>
      </c>
      <c r="DX9" t="s">
        <v>319</v>
      </c>
      <c r="EA9" t="s">
        <v>289</v>
      </c>
    </row>
    <row r="10" spans="1:283" x14ac:dyDescent="0.25">
      <c r="A10">
        <v>156350</v>
      </c>
      <c r="B10">
        <v>146744</v>
      </c>
      <c r="C10" t="str">
        <f>"110718503142"</f>
        <v>110718503142</v>
      </c>
      <c r="D10" t="s">
        <v>362</v>
      </c>
      <c r="E10" t="s">
        <v>363</v>
      </c>
      <c r="F10" t="s">
        <v>364</v>
      </c>
      <c r="G10" s="1">
        <v>40742</v>
      </c>
      <c r="I10" t="s">
        <v>353</v>
      </c>
      <c r="J10" t="s">
        <v>287</v>
      </c>
      <c r="K10" t="s">
        <v>288</v>
      </c>
      <c r="Q10" t="s">
        <v>289</v>
      </c>
      <c r="R10" t="str">
        <f>"КАЗАХСТАН, АКМОЛИНСКАЯ, ЗЕРЕНДИНСКИЙ РАЙОН, Зерендинский, Зеренда, 51"</f>
        <v>КАЗАХСТАН, АКМОЛИНСКАЯ, ЗЕРЕНДИНСКИЙ РАЙОН, Зерендинский, Зеренда, 51</v>
      </c>
      <c r="S10" t="str">
        <f>"ҚАЗАҚСТАН, АҚМОЛА, ЗЕРЕНДІ АУДАНЫ, Зерендинский, Зеренда, 51"</f>
        <v>ҚАЗАҚСТАН, АҚМОЛА, ЗЕРЕНДІ АУДАНЫ, Зерендинский, Зеренда, 51</v>
      </c>
      <c r="T10" t="str">
        <f>"Зерендинский, Зеренда, 51"</f>
        <v>Зерендинский, Зеренда, 51</v>
      </c>
      <c r="U10" t="str">
        <f>"Зерендинский, Зеренда, 51"</f>
        <v>Зерендинский, Зеренда, 51</v>
      </c>
      <c r="AC10" t="str">
        <f>"2017-08-24T00:00:00"</f>
        <v>2017-08-24T00:00:00</v>
      </c>
      <c r="AD10" t="str">
        <f>"34"</f>
        <v>34</v>
      </c>
      <c r="AE10" t="str">
        <f>"2024-09-01T16:41:40"</f>
        <v>2024-09-01T16:41:40</v>
      </c>
      <c r="AF10" t="str">
        <f>"2025-05-25T16:41:40"</f>
        <v>2025-05-25T16:41:40</v>
      </c>
      <c r="AG10" t="s">
        <v>290</v>
      </c>
      <c r="AI10" t="s">
        <v>291</v>
      </c>
      <c r="AK10" t="s">
        <v>292</v>
      </c>
      <c r="AP10" t="s">
        <v>293</v>
      </c>
      <c r="AT10" t="s">
        <v>294</v>
      </c>
      <c r="AU10" t="s">
        <v>295</v>
      </c>
      <c r="AW10" t="s">
        <v>296</v>
      </c>
      <c r="AX10">
        <v>2</v>
      </c>
      <c r="AY10" t="s">
        <v>297</v>
      </c>
      <c r="AZ10" t="s">
        <v>298</v>
      </c>
      <c r="BA10" t="s">
        <v>323</v>
      </c>
      <c r="BF10" t="s">
        <v>294</v>
      </c>
      <c r="BG10" t="s">
        <v>300</v>
      </c>
      <c r="BI10" t="s">
        <v>298</v>
      </c>
      <c r="BR10" t="s">
        <v>289</v>
      </c>
      <c r="BS10" t="s">
        <v>301</v>
      </c>
      <c r="BT10" t="s">
        <v>302</v>
      </c>
      <c r="BU10" t="s">
        <v>303</v>
      </c>
      <c r="BV10" t="s">
        <v>365</v>
      </c>
      <c r="BX10" t="s">
        <v>305</v>
      </c>
      <c r="BY10" t="s">
        <v>298</v>
      </c>
      <c r="BZ10" t="s">
        <v>306</v>
      </c>
      <c r="CA10" t="s">
        <v>334</v>
      </c>
      <c r="CC10" t="s">
        <v>308</v>
      </c>
      <c r="CD10" t="s">
        <v>309</v>
      </c>
      <c r="CE10" t="s">
        <v>294</v>
      </c>
      <c r="CH10" t="s">
        <v>304</v>
      </c>
      <c r="CI10" t="s">
        <v>304</v>
      </c>
      <c r="CK10" t="s">
        <v>335</v>
      </c>
      <c r="CM10" t="s">
        <v>366</v>
      </c>
      <c r="CN10" t="s">
        <v>367</v>
      </c>
      <c r="CO10" t="s">
        <v>312</v>
      </c>
      <c r="CT10" t="s">
        <v>294</v>
      </c>
      <c r="CU10" t="s">
        <v>313</v>
      </c>
      <c r="CV10" t="s">
        <v>314</v>
      </c>
      <c r="CW10" t="s">
        <v>315</v>
      </c>
      <c r="CX10" t="s">
        <v>316</v>
      </c>
      <c r="CZ10" t="s">
        <v>289</v>
      </c>
      <c r="DA10" t="s">
        <v>289</v>
      </c>
      <c r="DB10" t="s">
        <v>289</v>
      </c>
      <c r="DC10" t="s">
        <v>289</v>
      </c>
      <c r="DI10" t="s">
        <v>294</v>
      </c>
      <c r="DJ10" t="str">
        <f>"2024-11-19T00:00:00"</f>
        <v>2024-11-19T00:00:00</v>
      </c>
      <c r="DL10" t="s">
        <v>289</v>
      </c>
      <c r="DM10" t="s">
        <v>317</v>
      </c>
      <c r="DS10" t="s">
        <v>289</v>
      </c>
      <c r="DT10" t="s">
        <v>289</v>
      </c>
      <c r="DU10" t="s">
        <v>318</v>
      </c>
      <c r="DV10" t="s">
        <v>289</v>
      </c>
      <c r="DX10" t="s">
        <v>368</v>
      </c>
      <c r="DY10" t="s">
        <v>369</v>
      </c>
      <c r="EA10" t="s">
        <v>294</v>
      </c>
    </row>
    <row r="11" spans="1:283" x14ac:dyDescent="0.25">
      <c r="A11">
        <v>156365</v>
      </c>
      <c r="B11">
        <v>146756</v>
      </c>
      <c r="C11" t="str">
        <f>"101113500803"</f>
        <v>101113500803</v>
      </c>
      <c r="D11" t="s">
        <v>370</v>
      </c>
      <c r="E11" t="s">
        <v>371</v>
      </c>
      <c r="F11" t="s">
        <v>372</v>
      </c>
      <c r="G11" s="1">
        <v>40495</v>
      </c>
      <c r="I11" t="s">
        <v>353</v>
      </c>
      <c r="J11" t="s">
        <v>287</v>
      </c>
      <c r="K11" t="s">
        <v>288</v>
      </c>
      <c r="Q11" t="s">
        <v>289</v>
      </c>
      <c r="R11" t="str">
        <f>"КАЗАХСТАН, АКМОЛИНСКАЯ, ЗЕРЕНДИНСКИЙ РАЙОН, ЗЕРЕНДА, 23, 1"</f>
        <v>КАЗАХСТАН, АКМОЛИНСКАЯ, ЗЕРЕНДИНСКИЙ РАЙОН, ЗЕРЕНДА, 23, 1</v>
      </c>
      <c r="S11" t="str">
        <f>"ҚАЗАҚСТАН, АҚМОЛА, ЗЕРЕНДІ АУДАНЫ, ЗЕРЕНДА, 23, 1"</f>
        <v>ҚАЗАҚСТАН, АҚМОЛА, ЗЕРЕНДІ АУДАНЫ, ЗЕРЕНДА, 23, 1</v>
      </c>
      <c r="T11" t="str">
        <f>"ЗЕРЕНДА, 23, 1"</f>
        <v>ЗЕРЕНДА, 23, 1</v>
      </c>
      <c r="U11" t="str">
        <f>"ЗЕРЕНДА, 23, 1"</f>
        <v>ЗЕРЕНДА, 23, 1</v>
      </c>
      <c r="AC11" t="str">
        <f>"2016-09-01T00:00:00"</f>
        <v>2016-09-01T00:00:00</v>
      </c>
      <c r="AD11" t="str">
        <f>"1"</f>
        <v>1</v>
      </c>
      <c r="AE11" t="str">
        <f>"2024-09-01T22:51:11"</f>
        <v>2024-09-01T22:51:11</v>
      </c>
      <c r="AF11" t="str">
        <f>"2025-05-25T22:51:11"</f>
        <v>2025-05-25T22:51:11</v>
      </c>
      <c r="AG11" t="s">
        <v>290</v>
      </c>
      <c r="AH11" t="str">
        <f>"Malik@mail.ru"</f>
        <v>Malik@mail.ru</v>
      </c>
      <c r="AI11" t="s">
        <v>373</v>
      </c>
      <c r="AK11" t="s">
        <v>332</v>
      </c>
      <c r="AP11" t="s">
        <v>293</v>
      </c>
      <c r="AT11" t="s">
        <v>294</v>
      </c>
      <c r="AU11" t="s">
        <v>295</v>
      </c>
      <c r="AW11" t="s">
        <v>296</v>
      </c>
      <c r="AX11">
        <v>1</v>
      </c>
      <c r="AY11" t="s">
        <v>297</v>
      </c>
      <c r="AZ11" t="s">
        <v>298</v>
      </c>
      <c r="BA11" t="s">
        <v>323</v>
      </c>
      <c r="BF11" t="s">
        <v>294</v>
      </c>
      <c r="BG11" t="s">
        <v>300</v>
      </c>
      <c r="BI11" t="s">
        <v>298</v>
      </c>
      <c r="BR11" t="s">
        <v>289</v>
      </c>
      <c r="BS11" t="s">
        <v>301</v>
      </c>
      <c r="BT11" t="s">
        <v>302</v>
      </c>
      <c r="BU11" t="s">
        <v>303</v>
      </c>
      <c r="BV11" t="s">
        <v>304</v>
      </c>
      <c r="BX11" t="s">
        <v>305</v>
      </c>
      <c r="BY11" t="s">
        <v>298</v>
      </c>
      <c r="BZ11" t="s">
        <v>333</v>
      </c>
      <c r="CA11" t="s">
        <v>374</v>
      </c>
      <c r="CC11" t="s">
        <v>308</v>
      </c>
      <c r="CD11" t="s">
        <v>309</v>
      </c>
      <c r="CE11" t="s">
        <v>294</v>
      </c>
      <c r="CH11" t="s">
        <v>304</v>
      </c>
      <c r="CI11" t="s">
        <v>304</v>
      </c>
      <c r="CK11" t="s">
        <v>375</v>
      </c>
      <c r="CL11" t="s">
        <v>328</v>
      </c>
      <c r="CM11" t="s">
        <v>298</v>
      </c>
      <c r="CO11" t="s">
        <v>312</v>
      </c>
      <c r="CT11" t="s">
        <v>294</v>
      </c>
      <c r="CU11" t="s">
        <v>313</v>
      </c>
      <c r="CV11" t="s">
        <v>314</v>
      </c>
      <c r="CW11" t="s">
        <v>315</v>
      </c>
      <c r="CX11" t="s">
        <v>316</v>
      </c>
      <c r="CZ11" t="s">
        <v>289</v>
      </c>
      <c r="DA11" t="s">
        <v>289</v>
      </c>
      <c r="DB11" t="s">
        <v>289</v>
      </c>
      <c r="DC11" t="s">
        <v>289</v>
      </c>
      <c r="DI11" t="s">
        <v>289</v>
      </c>
      <c r="DL11" t="s">
        <v>289</v>
      </c>
      <c r="DM11" t="s">
        <v>376</v>
      </c>
      <c r="DN11" t="s">
        <v>304</v>
      </c>
      <c r="DS11" t="s">
        <v>289</v>
      </c>
      <c r="DT11" t="s">
        <v>289</v>
      </c>
      <c r="DU11" t="s">
        <v>318</v>
      </c>
      <c r="DV11" t="s">
        <v>289</v>
      </c>
      <c r="DX11" t="s">
        <v>319</v>
      </c>
      <c r="EA11" t="s">
        <v>289</v>
      </c>
    </row>
    <row r="12" spans="1:283" x14ac:dyDescent="0.25">
      <c r="A12">
        <v>156372</v>
      </c>
      <c r="B12">
        <v>146762</v>
      </c>
      <c r="C12" t="str">
        <f>"100918651888"</f>
        <v>100918651888</v>
      </c>
      <c r="D12" t="s">
        <v>377</v>
      </c>
      <c r="E12" t="s">
        <v>378</v>
      </c>
      <c r="F12" t="s">
        <v>379</v>
      </c>
      <c r="G12" s="1">
        <v>40439</v>
      </c>
      <c r="I12" t="s">
        <v>286</v>
      </c>
      <c r="J12" t="s">
        <v>287</v>
      </c>
      <c r="K12" t="s">
        <v>288</v>
      </c>
      <c r="Q12" t="s">
        <v>289</v>
      </c>
      <c r="R12" t="str">
        <f>"КАЗАХСТАН, АКМОЛИНСКАЯ, ЗЕРЕНДИНСКИЙ РАЙОН, Зерендинский, Зеренда, 21"</f>
        <v>КАЗАХСТАН, АКМОЛИНСКАЯ, ЗЕРЕНДИНСКИЙ РАЙОН, Зерендинский, Зеренда, 21</v>
      </c>
      <c r="S12" t="str">
        <f>"ҚАЗАҚСТАН, АҚМОЛА, ЗЕРЕНДІ АУДАНЫ, Зерендинский, Зеренда, 21"</f>
        <v>ҚАЗАҚСТАН, АҚМОЛА, ЗЕРЕНДІ АУДАНЫ, Зерендинский, Зеренда, 21</v>
      </c>
      <c r="T12" t="str">
        <f>"Зерендинский, Зеренда, 21"</f>
        <v>Зерендинский, Зеренда, 21</v>
      </c>
      <c r="U12" t="str">
        <f>"Зерендинский, Зеренда, 21"</f>
        <v>Зерендинский, Зеренда, 21</v>
      </c>
      <c r="AC12" t="str">
        <f>"2016-09-01T00:00:00"</f>
        <v>2016-09-01T00:00:00</v>
      </c>
      <c r="AD12" t="str">
        <f>"1"</f>
        <v>1</v>
      </c>
      <c r="AE12" t="str">
        <f>"2024-09-01T22:52:10"</f>
        <v>2024-09-01T22:52:10</v>
      </c>
      <c r="AF12" t="str">
        <f>"2025-05-25T22:52:10"</f>
        <v>2025-05-25T22:52:10</v>
      </c>
      <c r="AG12" t="s">
        <v>290</v>
      </c>
      <c r="AH12" t="str">
        <f>"aizere@mail.ru"</f>
        <v>aizere@mail.ru</v>
      </c>
      <c r="AI12" t="s">
        <v>373</v>
      </c>
      <c r="AK12" t="s">
        <v>332</v>
      </c>
      <c r="AP12" t="s">
        <v>342</v>
      </c>
      <c r="AT12" t="s">
        <v>294</v>
      </c>
      <c r="AU12" t="s">
        <v>295</v>
      </c>
      <c r="AW12" t="s">
        <v>296</v>
      </c>
      <c r="AX12">
        <v>1</v>
      </c>
      <c r="AY12" t="s">
        <v>297</v>
      </c>
      <c r="AZ12" t="s">
        <v>298</v>
      </c>
      <c r="BA12" t="s">
        <v>323</v>
      </c>
      <c r="BF12" t="s">
        <v>294</v>
      </c>
      <c r="BG12" t="s">
        <v>300</v>
      </c>
      <c r="BI12" t="s">
        <v>298</v>
      </c>
      <c r="BR12" t="s">
        <v>289</v>
      </c>
      <c r="BS12" t="s">
        <v>301</v>
      </c>
      <c r="BT12" t="s">
        <v>302</v>
      </c>
      <c r="BU12" t="s">
        <v>303</v>
      </c>
      <c r="BV12" t="s">
        <v>304</v>
      </c>
      <c r="BX12" t="s">
        <v>324</v>
      </c>
      <c r="BY12" t="s">
        <v>298</v>
      </c>
      <c r="BZ12" t="s">
        <v>380</v>
      </c>
      <c r="CA12" t="s">
        <v>381</v>
      </c>
      <c r="CC12" t="s">
        <v>308</v>
      </c>
      <c r="CD12" t="s">
        <v>309</v>
      </c>
      <c r="CE12" t="s">
        <v>294</v>
      </c>
      <c r="CH12" t="s">
        <v>304</v>
      </c>
      <c r="CI12" t="s">
        <v>304</v>
      </c>
      <c r="CK12" t="s">
        <v>382</v>
      </c>
      <c r="CL12" t="s">
        <v>328</v>
      </c>
      <c r="CM12" t="s">
        <v>298</v>
      </c>
      <c r="CO12" t="s">
        <v>312</v>
      </c>
      <c r="CT12" t="s">
        <v>294</v>
      </c>
      <c r="CU12" t="s">
        <v>313</v>
      </c>
      <c r="CV12" t="s">
        <v>314</v>
      </c>
      <c r="CW12" t="s">
        <v>315</v>
      </c>
      <c r="CX12" t="s">
        <v>316</v>
      </c>
      <c r="CZ12" t="s">
        <v>289</v>
      </c>
      <c r="DA12" t="s">
        <v>289</v>
      </c>
      <c r="DB12" t="s">
        <v>289</v>
      </c>
      <c r="DC12" t="s">
        <v>289</v>
      </c>
      <c r="DI12" t="s">
        <v>289</v>
      </c>
      <c r="DL12" t="s">
        <v>289</v>
      </c>
      <c r="DM12" t="s">
        <v>317</v>
      </c>
      <c r="DS12" t="s">
        <v>289</v>
      </c>
      <c r="DT12" t="s">
        <v>289</v>
      </c>
      <c r="DU12" t="s">
        <v>318</v>
      </c>
      <c r="DV12" t="s">
        <v>289</v>
      </c>
      <c r="DX12" t="s">
        <v>319</v>
      </c>
      <c r="EA12" t="s">
        <v>294</v>
      </c>
    </row>
    <row r="13" spans="1:283" x14ac:dyDescent="0.25">
      <c r="A13">
        <v>156377</v>
      </c>
      <c r="B13">
        <v>146766</v>
      </c>
      <c r="C13" t="str">
        <f>"100821552109"</f>
        <v>100821552109</v>
      </c>
      <c r="D13" t="s">
        <v>383</v>
      </c>
      <c r="E13" t="s">
        <v>384</v>
      </c>
      <c r="F13" t="s">
        <v>385</v>
      </c>
      <c r="G13" s="1">
        <v>40411</v>
      </c>
      <c r="I13" t="s">
        <v>353</v>
      </c>
      <c r="J13" t="s">
        <v>287</v>
      </c>
      <c r="K13" t="s">
        <v>288</v>
      </c>
      <c r="Q13" t="s">
        <v>289</v>
      </c>
      <c r="R13" t="str">
        <f>"КАЗАХСТАН, АКМОЛИНСКАЯ, ЗЕРЕНДИНСКИЙ РАЙОН, ЗЕРЕНДІ, 22"</f>
        <v>КАЗАХСТАН, АКМОЛИНСКАЯ, ЗЕРЕНДИНСКИЙ РАЙОН, ЗЕРЕНДІ, 22</v>
      </c>
      <c r="S13" t="str">
        <f>"ҚАЗАҚСТАН, АҚМОЛА, ЗЕРЕНДІ АУДАНЫ, ЗЕРЕНДІ, 22"</f>
        <v>ҚАЗАҚСТАН, АҚМОЛА, ЗЕРЕНДІ АУДАНЫ, ЗЕРЕНДІ, 22</v>
      </c>
      <c r="T13" t="str">
        <f>"ЗЕРЕНДІ, 22"</f>
        <v>ЗЕРЕНДІ, 22</v>
      </c>
      <c r="U13" t="str">
        <f>"ЗЕРЕНДІ, 22"</f>
        <v>ЗЕРЕНДІ, 22</v>
      </c>
      <c r="AC13" t="str">
        <f>"2016-09-01T00:00:00"</f>
        <v>2016-09-01T00:00:00</v>
      </c>
      <c r="AD13" t="str">
        <f>"1"</f>
        <v>1</v>
      </c>
      <c r="AE13" t="str">
        <f>"2024-09-01T22:52:26"</f>
        <v>2024-09-01T22:52:26</v>
      </c>
      <c r="AF13" t="str">
        <f>"2025-05-25T22:52:26"</f>
        <v>2025-05-25T22:52:26</v>
      </c>
      <c r="AG13" t="s">
        <v>290</v>
      </c>
      <c r="AH13" t="str">
        <f>"Arsen@mail.ru"</f>
        <v>Arsen@mail.ru</v>
      </c>
      <c r="AI13" t="s">
        <v>373</v>
      </c>
      <c r="AK13" t="s">
        <v>332</v>
      </c>
      <c r="AP13" t="s">
        <v>342</v>
      </c>
      <c r="AT13" t="s">
        <v>294</v>
      </c>
      <c r="AU13" t="s">
        <v>295</v>
      </c>
      <c r="AW13" t="s">
        <v>296</v>
      </c>
      <c r="AX13">
        <v>1</v>
      </c>
      <c r="AY13" t="s">
        <v>297</v>
      </c>
      <c r="AZ13" t="s">
        <v>298</v>
      </c>
      <c r="BA13" t="s">
        <v>349</v>
      </c>
      <c r="BF13" t="s">
        <v>294</v>
      </c>
      <c r="BG13" t="s">
        <v>300</v>
      </c>
      <c r="BI13" t="s">
        <v>298</v>
      </c>
      <c r="BR13" t="s">
        <v>289</v>
      </c>
      <c r="BS13" t="s">
        <v>301</v>
      </c>
      <c r="BT13" t="s">
        <v>302</v>
      </c>
      <c r="BU13" t="s">
        <v>303</v>
      </c>
      <c r="BV13" t="s">
        <v>304</v>
      </c>
      <c r="BX13" t="s">
        <v>324</v>
      </c>
      <c r="BY13" t="s">
        <v>298</v>
      </c>
      <c r="BZ13" t="s">
        <v>386</v>
      </c>
      <c r="CA13" t="s">
        <v>387</v>
      </c>
      <c r="CC13" t="s">
        <v>308</v>
      </c>
      <c r="CD13" t="s">
        <v>309</v>
      </c>
      <c r="CE13" t="s">
        <v>294</v>
      </c>
      <c r="CH13" t="s">
        <v>304</v>
      </c>
      <c r="CI13" t="s">
        <v>304</v>
      </c>
      <c r="CK13" t="s">
        <v>382</v>
      </c>
      <c r="CL13" t="s">
        <v>328</v>
      </c>
      <c r="CM13" t="s">
        <v>388</v>
      </c>
      <c r="CN13" t="s">
        <v>328</v>
      </c>
      <c r="CO13" t="s">
        <v>312</v>
      </c>
      <c r="CT13" t="s">
        <v>294</v>
      </c>
      <c r="CU13" t="s">
        <v>313</v>
      </c>
      <c r="CV13" t="s">
        <v>314</v>
      </c>
      <c r="CW13" t="s">
        <v>315</v>
      </c>
      <c r="CX13" t="s">
        <v>316</v>
      </c>
      <c r="CZ13" t="s">
        <v>289</v>
      </c>
      <c r="DA13" t="s">
        <v>289</v>
      </c>
      <c r="DB13" t="s">
        <v>289</v>
      </c>
      <c r="DC13" t="s">
        <v>289</v>
      </c>
      <c r="DI13" t="s">
        <v>289</v>
      </c>
      <c r="DL13" t="s">
        <v>289</v>
      </c>
      <c r="DM13" t="s">
        <v>317</v>
      </c>
      <c r="DS13" t="s">
        <v>289</v>
      </c>
      <c r="DT13" t="s">
        <v>289</v>
      </c>
      <c r="DU13" t="s">
        <v>318</v>
      </c>
      <c r="DV13" t="s">
        <v>289</v>
      </c>
      <c r="DX13" t="s">
        <v>319</v>
      </c>
      <c r="EA13" t="s">
        <v>289</v>
      </c>
    </row>
    <row r="14" spans="1:283" x14ac:dyDescent="0.25">
      <c r="A14">
        <v>156383</v>
      </c>
      <c r="B14">
        <v>146771</v>
      </c>
      <c r="C14" t="str">
        <f>"110610501357"</f>
        <v>110610501357</v>
      </c>
      <c r="D14" t="s">
        <v>389</v>
      </c>
      <c r="E14" t="s">
        <v>390</v>
      </c>
      <c r="F14" t="s">
        <v>391</v>
      </c>
      <c r="G14" s="1">
        <v>40704</v>
      </c>
      <c r="I14" t="s">
        <v>353</v>
      </c>
      <c r="J14" t="s">
        <v>287</v>
      </c>
      <c r="K14" t="s">
        <v>288</v>
      </c>
      <c r="Q14" t="s">
        <v>289</v>
      </c>
      <c r="R14" t="str">
        <f>"КАЗАХСТАН, АКМОЛИНСКАЯ, ЗЕРЕНДИНСКИЙ РАЙОН, ЗЕРЕНДА, 2, -"</f>
        <v>КАЗАХСТАН, АКМОЛИНСКАЯ, ЗЕРЕНДИНСКИЙ РАЙОН, ЗЕРЕНДА, 2, -</v>
      </c>
      <c r="S14" t="str">
        <f>"ҚАЗАҚСТАН, АҚМОЛА, ЗЕРЕНДІ АУДАНЫ, ЗЕРЕНДА, 2, -"</f>
        <v>ҚАЗАҚСТАН, АҚМОЛА, ЗЕРЕНДІ АУДАНЫ, ЗЕРЕНДА, 2, -</v>
      </c>
      <c r="T14" t="str">
        <f>"ЗЕРЕНДА, 2, -"</f>
        <v>ЗЕРЕНДА, 2, -</v>
      </c>
      <c r="U14" t="str">
        <f>"ЗЕРЕНДА, 2, -"</f>
        <v>ЗЕРЕНДА, 2, -</v>
      </c>
      <c r="AC14" t="str">
        <f>"2017-08-22T00:00:00"</f>
        <v>2017-08-22T00:00:00</v>
      </c>
      <c r="AD14" t="str">
        <f>"32"</f>
        <v>32</v>
      </c>
      <c r="AE14" t="str">
        <f>"2024-09-01T22:40:10"</f>
        <v>2024-09-01T22:40:10</v>
      </c>
      <c r="AF14" t="str">
        <f>"2025-05-25T22:40:10"</f>
        <v>2025-05-25T22:40:10</v>
      </c>
      <c r="AG14" t="s">
        <v>290</v>
      </c>
      <c r="AI14" t="s">
        <v>291</v>
      </c>
      <c r="AK14" t="s">
        <v>292</v>
      </c>
      <c r="AP14" t="s">
        <v>342</v>
      </c>
      <c r="AT14" t="s">
        <v>294</v>
      </c>
      <c r="AU14" t="s">
        <v>295</v>
      </c>
      <c r="AW14" t="s">
        <v>296</v>
      </c>
      <c r="AX14">
        <v>2</v>
      </c>
      <c r="AY14" t="s">
        <v>297</v>
      </c>
      <c r="AZ14" t="s">
        <v>298</v>
      </c>
      <c r="BA14" t="s">
        <v>323</v>
      </c>
      <c r="BF14" t="s">
        <v>294</v>
      </c>
      <c r="BG14" t="s">
        <v>300</v>
      </c>
      <c r="BI14" t="s">
        <v>298</v>
      </c>
      <c r="BR14" t="s">
        <v>289</v>
      </c>
      <c r="BS14" t="s">
        <v>301</v>
      </c>
      <c r="BT14" t="s">
        <v>302</v>
      </c>
      <c r="BU14" t="s">
        <v>303</v>
      </c>
      <c r="BV14" t="s">
        <v>304</v>
      </c>
      <c r="BX14" t="s">
        <v>392</v>
      </c>
      <c r="BY14" t="s">
        <v>298</v>
      </c>
      <c r="BZ14" t="s">
        <v>306</v>
      </c>
      <c r="CA14" t="s">
        <v>393</v>
      </c>
      <c r="CC14" t="s">
        <v>308</v>
      </c>
      <c r="CD14" t="s">
        <v>309</v>
      </c>
      <c r="CE14" t="s">
        <v>294</v>
      </c>
      <c r="CH14" t="s">
        <v>304</v>
      </c>
      <c r="CI14" t="s">
        <v>304</v>
      </c>
      <c r="CK14" t="s">
        <v>375</v>
      </c>
      <c r="CL14" t="s">
        <v>328</v>
      </c>
      <c r="CM14" t="s">
        <v>394</v>
      </c>
      <c r="CN14" t="s">
        <v>367</v>
      </c>
      <c r="CO14" t="s">
        <v>312</v>
      </c>
      <c r="CT14" t="s">
        <v>294</v>
      </c>
      <c r="CU14" t="s">
        <v>313</v>
      </c>
      <c r="CV14" t="s">
        <v>314</v>
      </c>
      <c r="CW14" t="s">
        <v>315</v>
      </c>
      <c r="CX14" t="s">
        <v>316</v>
      </c>
      <c r="CZ14" t="s">
        <v>289</v>
      </c>
      <c r="DA14" t="s">
        <v>289</v>
      </c>
      <c r="DB14" t="s">
        <v>289</v>
      </c>
      <c r="DC14" t="s">
        <v>289</v>
      </c>
      <c r="DI14" t="s">
        <v>289</v>
      </c>
      <c r="DL14" t="s">
        <v>289</v>
      </c>
      <c r="DM14" t="s">
        <v>317</v>
      </c>
      <c r="DS14" t="s">
        <v>289</v>
      </c>
      <c r="DT14" t="s">
        <v>289</v>
      </c>
      <c r="DU14" t="s">
        <v>318</v>
      </c>
      <c r="DV14" t="s">
        <v>289</v>
      </c>
      <c r="DX14" t="s">
        <v>319</v>
      </c>
      <c r="EA14" t="s">
        <v>289</v>
      </c>
    </row>
    <row r="15" spans="1:283" x14ac:dyDescent="0.25">
      <c r="A15">
        <v>156388</v>
      </c>
      <c r="B15">
        <v>146775</v>
      </c>
      <c r="C15" t="str">
        <f>"111028502225"</f>
        <v>111028502225</v>
      </c>
      <c r="D15" t="s">
        <v>395</v>
      </c>
      <c r="E15" t="s">
        <v>396</v>
      </c>
      <c r="F15" t="s">
        <v>397</v>
      </c>
      <c r="G15" s="1">
        <v>40844</v>
      </c>
      <c r="I15" t="s">
        <v>353</v>
      </c>
      <c r="J15" t="s">
        <v>287</v>
      </c>
      <c r="K15" t="s">
        <v>288</v>
      </c>
      <c r="Q15" t="s">
        <v>289</v>
      </c>
      <c r="R15" t="str">
        <f>"КАЗАХСТАН, АКМОЛИНСКАЯ, ЗЕРЕНДИНСКИЙ РАЙОН, Зерендинский, Зеренда, 35"</f>
        <v>КАЗАХСТАН, АКМОЛИНСКАЯ, ЗЕРЕНДИНСКИЙ РАЙОН, Зерендинский, Зеренда, 35</v>
      </c>
      <c r="S15" t="str">
        <f>"ҚАЗАҚСТАН, АҚМОЛА, ЗЕРЕНДІ АУДАНЫ, Зерендинский, Зеренда, 35"</f>
        <v>ҚАЗАҚСТАН, АҚМОЛА, ЗЕРЕНДІ АУДАНЫ, Зерендинский, Зеренда, 35</v>
      </c>
      <c r="T15" t="str">
        <f>"Зерендинский, Зеренда, 35"</f>
        <v>Зерендинский, Зеренда, 35</v>
      </c>
      <c r="U15" t="str">
        <f>"Зерендинский, Зеренда, 35"</f>
        <v>Зерендинский, Зеренда, 35</v>
      </c>
      <c r="AC15" t="str">
        <f>"2017-08-24T00:00:00"</f>
        <v>2017-08-24T00:00:00</v>
      </c>
      <c r="AD15" t="str">
        <f>"34"</f>
        <v>34</v>
      </c>
      <c r="AE15" t="str">
        <f>"2024-09-01T22:41:29"</f>
        <v>2024-09-01T22:41:29</v>
      </c>
      <c r="AF15" t="str">
        <f>"2025-05-25T22:41:29"</f>
        <v>2025-05-25T22:41:29</v>
      </c>
      <c r="AG15" t="s">
        <v>290</v>
      </c>
      <c r="AI15" t="s">
        <v>291</v>
      </c>
      <c r="AK15" t="s">
        <v>292</v>
      </c>
      <c r="AP15" t="s">
        <v>342</v>
      </c>
      <c r="AT15" t="s">
        <v>294</v>
      </c>
      <c r="AU15" t="s">
        <v>295</v>
      </c>
      <c r="AW15" t="s">
        <v>296</v>
      </c>
      <c r="AX15">
        <v>2</v>
      </c>
      <c r="AY15" t="s">
        <v>297</v>
      </c>
      <c r="AZ15" t="s">
        <v>298</v>
      </c>
      <c r="BA15" t="s">
        <v>299</v>
      </c>
      <c r="BF15" t="s">
        <v>294</v>
      </c>
      <c r="BG15" t="s">
        <v>300</v>
      </c>
      <c r="BI15" t="s">
        <v>298</v>
      </c>
      <c r="BR15" t="s">
        <v>289</v>
      </c>
      <c r="BS15" t="s">
        <v>301</v>
      </c>
      <c r="BT15" t="s">
        <v>302</v>
      </c>
      <c r="BU15" t="s">
        <v>303</v>
      </c>
      <c r="BV15" t="s">
        <v>304</v>
      </c>
      <c r="BX15" t="s">
        <v>324</v>
      </c>
      <c r="BY15" t="s">
        <v>298</v>
      </c>
      <c r="BZ15" t="s">
        <v>306</v>
      </c>
      <c r="CA15" t="s">
        <v>325</v>
      </c>
      <c r="CC15" t="s">
        <v>308</v>
      </c>
      <c r="CD15" t="s">
        <v>309</v>
      </c>
      <c r="CE15" t="s">
        <v>294</v>
      </c>
      <c r="CH15" t="s">
        <v>304</v>
      </c>
      <c r="CI15" t="s">
        <v>304</v>
      </c>
      <c r="CK15" t="s">
        <v>335</v>
      </c>
      <c r="CM15" t="s">
        <v>398</v>
      </c>
      <c r="CN15" t="s">
        <v>311</v>
      </c>
      <c r="CO15" t="s">
        <v>312</v>
      </c>
      <c r="CT15" t="s">
        <v>294</v>
      </c>
      <c r="CU15" t="s">
        <v>313</v>
      </c>
      <c r="CV15" t="s">
        <v>314</v>
      </c>
      <c r="CW15" t="s">
        <v>315</v>
      </c>
      <c r="CX15" t="s">
        <v>316</v>
      </c>
      <c r="CZ15" t="s">
        <v>289</v>
      </c>
      <c r="DA15" t="s">
        <v>289</v>
      </c>
      <c r="DB15" t="s">
        <v>289</v>
      </c>
      <c r="DC15" t="s">
        <v>289</v>
      </c>
      <c r="DI15" t="s">
        <v>289</v>
      </c>
      <c r="DL15" t="s">
        <v>289</v>
      </c>
      <c r="DM15" t="s">
        <v>317</v>
      </c>
      <c r="DS15" t="s">
        <v>289</v>
      </c>
      <c r="DT15" t="s">
        <v>289</v>
      </c>
      <c r="DU15" t="s">
        <v>318</v>
      </c>
      <c r="DV15" t="s">
        <v>289</v>
      </c>
      <c r="DX15" t="s">
        <v>319</v>
      </c>
      <c r="EA15" t="s">
        <v>289</v>
      </c>
    </row>
    <row r="16" spans="1:283" x14ac:dyDescent="0.25">
      <c r="A16">
        <v>156396</v>
      </c>
      <c r="B16">
        <v>146781</v>
      </c>
      <c r="C16" t="str">
        <f>"100112650451"</f>
        <v>100112650451</v>
      </c>
      <c r="D16" t="s">
        <v>399</v>
      </c>
      <c r="E16" t="s">
        <v>400</v>
      </c>
      <c r="F16" t="s">
        <v>401</v>
      </c>
      <c r="G16" s="1">
        <v>40190</v>
      </c>
      <c r="I16" t="s">
        <v>286</v>
      </c>
      <c r="J16" t="s">
        <v>287</v>
      </c>
      <c r="K16" t="s">
        <v>288</v>
      </c>
      <c r="Q16" t="s">
        <v>289</v>
      </c>
      <c r="R16" t="str">
        <f>"КАЗАХСТАН, АКМОЛИНСКАЯ, ЗЕРЕНДИНСКИЙ РАЙОН, Зерендинский, Зеренда, 18, 3"</f>
        <v>КАЗАХСТАН, АКМОЛИНСКАЯ, ЗЕРЕНДИНСКИЙ РАЙОН, Зерендинский, Зеренда, 18, 3</v>
      </c>
      <c r="S16" t="str">
        <f>"ҚАЗАҚСТАН, АҚМОЛА, ЗЕРЕНДІ АУДАНЫ, Зерендинский, Зеренда, 18, 3"</f>
        <v>ҚАЗАҚСТАН, АҚМОЛА, ЗЕРЕНДІ АУДАНЫ, Зерендинский, Зеренда, 18, 3</v>
      </c>
      <c r="T16" t="str">
        <f>"Зерендинский, Зеренда, 18, 3"</f>
        <v>Зерендинский, Зеренда, 18, 3</v>
      </c>
      <c r="U16" t="str">
        <f>"Зерендинский, Зеренда, 18, 3"</f>
        <v>Зерендинский, Зеренда, 18, 3</v>
      </c>
      <c r="AC16" t="str">
        <f>"2015-09-01T00:00:00"</f>
        <v>2015-09-01T00:00:00</v>
      </c>
      <c r="AD16" t="str">
        <f>"1"</f>
        <v>1</v>
      </c>
      <c r="AE16" t="str">
        <f>"2024-09-01T18:32:46"</f>
        <v>2024-09-01T18:32:46</v>
      </c>
      <c r="AF16" t="str">
        <f>"2025-05-25T18:32:46"</f>
        <v>2025-05-25T18:32:46</v>
      </c>
      <c r="AG16" t="s">
        <v>290</v>
      </c>
      <c r="AH16" t="str">
        <f>"Amirgan2020@mail.ru"</f>
        <v>Amirgan2020@mail.ru</v>
      </c>
      <c r="AI16" t="s">
        <v>291</v>
      </c>
      <c r="AK16" t="s">
        <v>402</v>
      </c>
      <c r="AP16" t="s">
        <v>342</v>
      </c>
      <c r="AT16" t="s">
        <v>294</v>
      </c>
      <c r="AU16" t="s">
        <v>295</v>
      </c>
      <c r="AW16" t="s">
        <v>296</v>
      </c>
      <c r="AX16">
        <v>1</v>
      </c>
      <c r="AY16" t="s">
        <v>297</v>
      </c>
      <c r="AZ16" t="s">
        <v>298</v>
      </c>
      <c r="BA16" t="s">
        <v>299</v>
      </c>
      <c r="BF16" t="s">
        <v>294</v>
      </c>
      <c r="BG16" t="s">
        <v>300</v>
      </c>
      <c r="BI16" t="s">
        <v>298</v>
      </c>
      <c r="BR16" t="s">
        <v>289</v>
      </c>
      <c r="BS16" t="s">
        <v>301</v>
      </c>
      <c r="BT16" t="s">
        <v>302</v>
      </c>
      <c r="BU16" t="s">
        <v>303</v>
      </c>
      <c r="BV16" t="s">
        <v>304</v>
      </c>
      <c r="BX16" t="s">
        <v>392</v>
      </c>
      <c r="BY16" t="s">
        <v>298</v>
      </c>
      <c r="BZ16" t="s">
        <v>403</v>
      </c>
      <c r="CA16" t="s">
        <v>404</v>
      </c>
      <c r="CC16" t="s">
        <v>308</v>
      </c>
      <c r="CD16" t="s">
        <v>309</v>
      </c>
      <c r="CE16" t="s">
        <v>294</v>
      </c>
      <c r="CH16" t="s">
        <v>304</v>
      </c>
      <c r="CI16" t="s">
        <v>304</v>
      </c>
      <c r="CK16" t="s">
        <v>382</v>
      </c>
      <c r="CL16" t="s">
        <v>328</v>
      </c>
      <c r="CM16" t="s">
        <v>298</v>
      </c>
      <c r="CO16" t="s">
        <v>312</v>
      </c>
      <c r="CT16" t="s">
        <v>294</v>
      </c>
      <c r="CU16" t="s">
        <v>405</v>
      </c>
      <c r="CW16" t="s">
        <v>406</v>
      </c>
      <c r="CX16" t="s">
        <v>316</v>
      </c>
      <c r="CZ16" t="s">
        <v>289</v>
      </c>
      <c r="DA16" t="s">
        <v>289</v>
      </c>
      <c r="DB16" t="s">
        <v>289</v>
      </c>
      <c r="DC16" t="s">
        <v>289</v>
      </c>
      <c r="DI16" t="s">
        <v>289</v>
      </c>
      <c r="DL16" t="s">
        <v>289</v>
      </c>
      <c r="DM16" t="s">
        <v>317</v>
      </c>
      <c r="DS16" t="s">
        <v>289</v>
      </c>
      <c r="DT16" t="s">
        <v>289</v>
      </c>
      <c r="DU16" t="s">
        <v>318</v>
      </c>
      <c r="DV16" t="s">
        <v>289</v>
      </c>
      <c r="DX16" t="s">
        <v>319</v>
      </c>
      <c r="EA16" t="s">
        <v>289</v>
      </c>
    </row>
    <row r="17" spans="1:131" x14ac:dyDescent="0.25">
      <c r="A17">
        <v>156413</v>
      </c>
      <c r="B17">
        <v>146792</v>
      </c>
      <c r="C17" t="str">
        <f>"091106551687"</f>
        <v>091106551687</v>
      </c>
      <c r="D17" t="s">
        <v>407</v>
      </c>
      <c r="E17" t="s">
        <v>408</v>
      </c>
      <c r="F17" t="s">
        <v>409</v>
      </c>
      <c r="G17" s="1">
        <v>40123</v>
      </c>
      <c r="I17" t="s">
        <v>353</v>
      </c>
      <c r="J17" t="s">
        <v>287</v>
      </c>
      <c r="K17" t="s">
        <v>288</v>
      </c>
      <c r="Q17" t="s">
        <v>289</v>
      </c>
      <c r="R17" t="str">
        <f>"КАЗАХСТАН, АКМОЛИНСКАЯ, ЗЕРЕНДИНСКИЙ РАЙОН, Зерендинский, Зеренда, 5, 2"</f>
        <v>КАЗАХСТАН, АКМОЛИНСКАЯ, ЗЕРЕНДИНСКИЙ РАЙОН, Зерендинский, Зеренда, 5, 2</v>
      </c>
      <c r="S17" t="str">
        <f>"ҚАЗАҚСТАН, АҚМОЛА, ЗЕРЕНДІ АУДАНЫ, Зерендинский, Зеренда, 5, 2"</f>
        <v>ҚАЗАҚСТАН, АҚМОЛА, ЗЕРЕНДІ АУДАНЫ, Зерендинский, Зеренда, 5, 2</v>
      </c>
      <c r="T17" t="str">
        <f>"Зерендинский, Зеренда, 5, 2"</f>
        <v>Зерендинский, Зеренда, 5, 2</v>
      </c>
      <c r="U17" t="str">
        <f>"Зерендинский, Зеренда, 5, 2"</f>
        <v>Зерендинский, Зеренда, 5, 2</v>
      </c>
      <c r="AC17" t="str">
        <f>"2015-09-01T00:00:00"</f>
        <v>2015-09-01T00:00:00</v>
      </c>
      <c r="AD17" t="str">
        <f>"1"</f>
        <v>1</v>
      </c>
      <c r="AE17" t="str">
        <f>"2024-09-01T18:06:03"</f>
        <v>2024-09-01T18:06:03</v>
      </c>
      <c r="AF17" t="str">
        <f>"2025-05-25T18:06:03"</f>
        <v>2025-05-25T18:06:03</v>
      </c>
      <c r="AG17" t="s">
        <v>290</v>
      </c>
      <c r="AH17" t="str">
        <f>"Nuras09@mail.ru"</f>
        <v>Nuras09@mail.ru</v>
      </c>
      <c r="AI17" t="s">
        <v>291</v>
      </c>
      <c r="AK17" t="s">
        <v>402</v>
      </c>
      <c r="AP17" t="s">
        <v>293</v>
      </c>
      <c r="AT17" t="s">
        <v>294</v>
      </c>
      <c r="AU17" t="s">
        <v>295</v>
      </c>
      <c r="AW17" t="s">
        <v>296</v>
      </c>
      <c r="AX17">
        <v>1</v>
      </c>
      <c r="AY17" t="s">
        <v>297</v>
      </c>
      <c r="AZ17" t="s">
        <v>298</v>
      </c>
      <c r="BA17" t="s">
        <v>299</v>
      </c>
      <c r="BF17" t="s">
        <v>294</v>
      </c>
      <c r="BG17" t="s">
        <v>300</v>
      </c>
      <c r="BI17" t="s">
        <v>298</v>
      </c>
      <c r="BR17" t="s">
        <v>289</v>
      </c>
      <c r="BS17" t="s">
        <v>301</v>
      </c>
      <c r="BT17" t="s">
        <v>302</v>
      </c>
      <c r="BU17" t="s">
        <v>303</v>
      </c>
      <c r="BV17" t="s">
        <v>304</v>
      </c>
      <c r="BX17" t="s">
        <v>324</v>
      </c>
      <c r="BY17" t="s">
        <v>298</v>
      </c>
      <c r="BZ17" t="s">
        <v>403</v>
      </c>
      <c r="CA17" t="s">
        <v>410</v>
      </c>
      <c r="CC17" t="s">
        <v>308</v>
      </c>
      <c r="CD17" t="s">
        <v>309</v>
      </c>
      <c r="CE17" t="s">
        <v>294</v>
      </c>
      <c r="CH17" t="s">
        <v>304</v>
      </c>
      <c r="CI17" t="s">
        <v>304</v>
      </c>
      <c r="CK17" t="s">
        <v>327</v>
      </c>
      <c r="CL17" t="s">
        <v>328</v>
      </c>
      <c r="CM17" t="s">
        <v>298</v>
      </c>
      <c r="CO17" t="s">
        <v>312</v>
      </c>
      <c r="CT17" t="s">
        <v>294</v>
      </c>
      <c r="CU17" t="s">
        <v>405</v>
      </c>
      <c r="CW17" t="s">
        <v>406</v>
      </c>
      <c r="CX17" t="s">
        <v>316</v>
      </c>
      <c r="CZ17" t="s">
        <v>289</v>
      </c>
      <c r="DA17" t="s">
        <v>289</v>
      </c>
      <c r="DB17" t="s">
        <v>289</v>
      </c>
      <c r="DC17" t="s">
        <v>289</v>
      </c>
      <c r="DI17" t="s">
        <v>289</v>
      </c>
      <c r="DL17" t="s">
        <v>289</v>
      </c>
      <c r="DM17" t="s">
        <v>317</v>
      </c>
      <c r="DS17" t="s">
        <v>289</v>
      </c>
      <c r="DT17" t="s">
        <v>289</v>
      </c>
      <c r="DU17" t="s">
        <v>318</v>
      </c>
      <c r="DV17" t="s">
        <v>289</v>
      </c>
      <c r="DX17" t="s">
        <v>319</v>
      </c>
      <c r="EA17" t="s">
        <v>289</v>
      </c>
    </row>
    <row r="18" spans="1:131" x14ac:dyDescent="0.25">
      <c r="A18">
        <v>156426</v>
      </c>
      <c r="B18">
        <v>146799</v>
      </c>
      <c r="C18" t="str">
        <f>"090126550497"</f>
        <v>090126550497</v>
      </c>
      <c r="D18" t="s">
        <v>411</v>
      </c>
      <c r="E18" t="s">
        <v>412</v>
      </c>
      <c r="F18" t="s">
        <v>413</v>
      </c>
      <c r="G18" s="1">
        <v>39839</v>
      </c>
      <c r="I18" t="s">
        <v>353</v>
      </c>
      <c r="J18" t="s">
        <v>287</v>
      </c>
      <c r="K18" t="s">
        <v>288</v>
      </c>
      <c r="Q18" t="s">
        <v>289</v>
      </c>
      <c r="R18" t="str">
        <f>"КАЗАХСТАН, АКМОЛИНСКАЯ, ЗЕРЕНДИНСКИЙ РАЙОН, Зерендинский, Зеренда, 65"</f>
        <v>КАЗАХСТАН, АКМОЛИНСКАЯ, ЗЕРЕНДИНСКИЙ РАЙОН, Зерендинский, Зеренда, 65</v>
      </c>
      <c r="S18" t="str">
        <f>"ҚАЗАҚСТАН, АҚМОЛА, ЗЕРЕНДІ АУДАНЫ, Зерендинский, Зеренда, 65"</f>
        <v>ҚАЗАҚСТАН, АҚМОЛА, ЗЕРЕНДІ АУДАНЫ, Зерендинский, Зеренда, 65</v>
      </c>
      <c r="T18" t="str">
        <f>"Зерендинский, Зеренда, 65"</f>
        <v>Зерендинский, Зеренда, 65</v>
      </c>
      <c r="U18" t="str">
        <f>"Зерендинский, Зеренда, 65"</f>
        <v>Зерендинский, Зеренда, 65</v>
      </c>
      <c r="AC18" t="str">
        <f>"2015-09-01T00:00:00"</f>
        <v>2015-09-01T00:00:00</v>
      </c>
      <c r="AD18" t="str">
        <f>"1"</f>
        <v>1</v>
      </c>
      <c r="AE18" t="str">
        <f>"2024-09-01T18:11:34"</f>
        <v>2024-09-01T18:11:34</v>
      </c>
      <c r="AF18" t="str">
        <f>"2025-05-25T18:11:34"</f>
        <v>2025-05-25T18:11:34</v>
      </c>
      <c r="AG18" t="s">
        <v>290</v>
      </c>
      <c r="AH18" t="str">
        <f>"aibek_sho@mail.ru"</f>
        <v>aibek_sho@mail.ru</v>
      </c>
      <c r="AI18" t="s">
        <v>291</v>
      </c>
      <c r="AK18" t="s">
        <v>402</v>
      </c>
      <c r="AP18" t="s">
        <v>293</v>
      </c>
      <c r="AT18" t="s">
        <v>294</v>
      </c>
      <c r="AU18" t="s">
        <v>295</v>
      </c>
      <c r="AW18" t="s">
        <v>296</v>
      </c>
      <c r="AX18">
        <v>1</v>
      </c>
      <c r="AY18" t="s">
        <v>297</v>
      </c>
      <c r="AZ18" t="s">
        <v>298</v>
      </c>
      <c r="BA18" t="s">
        <v>349</v>
      </c>
      <c r="BE18" t="str">
        <f>"2020-08-26T15:32:58"</f>
        <v>2020-08-26T15:32:58</v>
      </c>
      <c r="BF18" t="s">
        <v>294</v>
      </c>
      <c r="BG18" t="s">
        <v>300</v>
      </c>
      <c r="BI18" t="s">
        <v>298</v>
      </c>
      <c r="BR18" t="s">
        <v>289</v>
      </c>
      <c r="BS18" t="s">
        <v>301</v>
      </c>
      <c r="BT18" t="s">
        <v>302</v>
      </c>
      <c r="BU18" t="s">
        <v>303</v>
      </c>
      <c r="BV18" t="s">
        <v>304</v>
      </c>
      <c r="BX18" t="s">
        <v>305</v>
      </c>
      <c r="BY18" t="s">
        <v>298</v>
      </c>
      <c r="BZ18" t="s">
        <v>403</v>
      </c>
      <c r="CA18" t="s">
        <v>410</v>
      </c>
      <c r="CC18" t="s">
        <v>308</v>
      </c>
      <c r="CD18" t="s">
        <v>309</v>
      </c>
      <c r="CE18" t="s">
        <v>294</v>
      </c>
      <c r="CH18" t="s">
        <v>304</v>
      </c>
      <c r="CI18" t="s">
        <v>304</v>
      </c>
      <c r="CK18" t="s">
        <v>414</v>
      </c>
      <c r="CL18" t="s">
        <v>311</v>
      </c>
      <c r="CM18" t="s">
        <v>298</v>
      </c>
      <c r="CO18" t="s">
        <v>312</v>
      </c>
      <c r="CT18" t="s">
        <v>294</v>
      </c>
      <c r="CU18" t="s">
        <v>405</v>
      </c>
      <c r="CW18" t="s">
        <v>406</v>
      </c>
      <c r="CX18" t="s">
        <v>316</v>
      </c>
      <c r="CZ18" t="s">
        <v>289</v>
      </c>
      <c r="DA18" t="s">
        <v>289</v>
      </c>
      <c r="DB18" t="s">
        <v>289</v>
      </c>
      <c r="DC18" t="s">
        <v>289</v>
      </c>
      <c r="DI18" t="s">
        <v>289</v>
      </c>
      <c r="DL18" t="s">
        <v>289</v>
      </c>
      <c r="DM18" t="s">
        <v>376</v>
      </c>
      <c r="DN18" t="s">
        <v>304</v>
      </c>
      <c r="DS18" t="s">
        <v>289</v>
      </c>
      <c r="DT18" t="s">
        <v>289</v>
      </c>
      <c r="DU18" t="s">
        <v>318</v>
      </c>
      <c r="DV18" t="s">
        <v>289</v>
      </c>
      <c r="DX18" t="s">
        <v>319</v>
      </c>
      <c r="EA18" t="s">
        <v>289</v>
      </c>
    </row>
    <row r="19" spans="1:131" x14ac:dyDescent="0.25">
      <c r="A19">
        <v>156558</v>
      </c>
      <c r="B19">
        <v>146888</v>
      </c>
      <c r="C19" t="str">
        <f>"091201550754"</f>
        <v>091201550754</v>
      </c>
      <c r="D19" t="s">
        <v>415</v>
      </c>
      <c r="E19" t="s">
        <v>416</v>
      </c>
      <c r="F19" t="s">
        <v>417</v>
      </c>
      <c r="G19" s="1">
        <v>40148</v>
      </c>
      <c r="I19" t="s">
        <v>353</v>
      </c>
      <c r="J19" t="s">
        <v>287</v>
      </c>
      <c r="K19" t="s">
        <v>288</v>
      </c>
      <c r="Q19" t="s">
        <v>289</v>
      </c>
      <c r="R19" t="str">
        <f>"КАЗАХСТАН, АКМОЛИНСКАЯ, ЗЕРЕНДИНСКИЙ РАЙОН, Зерендинский, Зеренда, 14, 1"</f>
        <v>КАЗАХСТАН, АКМОЛИНСКАЯ, ЗЕРЕНДИНСКИЙ РАЙОН, Зерендинский, Зеренда, 14, 1</v>
      </c>
      <c r="S19" t="str">
        <f>"ҚАЗАҚСТАН, АҚМОЛА, ЗЕРЕНДІ АУДАНЫ, Зерендинский, Зеренда, 14, 1"</f>
        <v>ҚАЗАҚСТАН, АҚМОЛА, ЗЕРЕНДІ АУДАНЫ, Зерендинский, Зеренда, 14, 1</v>
      </c>
      <c r="T19" t="str">
        <f>"Зерендинский, Зеренда, 14, 1"</f>
        <v>Зерендинский, Зеренда, 14, 1</v>
      </c>
      <c r="U19" t="str">
        <f>"Зерендинский, Зеренда, 14, 1"</f>
        <v>Зерендинский, Зеренда, 14, 1</v>
      </c>
      <c r="AC19" t="str">
        <f>"2015-09-01T00:00:00"</f>
        <v>2015-09-01T00:00:00</v>
      </c>
      <c r="AD19" t="str">
        <f>"1"</f>
        <v>1</v>
      </c>
      <c r="AE19" t="str">
        <f>"2024-09-01T17:50:40"</f>
        <v>2024-09-01T17:50:40</v>
      </c>
      <c r="AF19" t="str">
        <f>"2025-05-25T17:50:40"</f>
        <v>2025-05-25T17:50:40</v>
      </c>
      <c r="AG19" t="s">
        <v>290</v>
      </c>
      <c r="AH19" t="str">
        <f>"Madon@mail.ru"</f>
        <v>Madon@mail.ru</v>
      </c>
      <c r="AI19" t="s">
        <v>373</v>
      </c>
      <c r="AK19" t="s">
        <v>402</v>
      </c>
      <c r="AP19" t="s">
        <v>293</v>
      </c>
      <c r="AT19" t="s">
        <v>294</v>
      </c>
      <c r="AU19" t="s">
        <v>295</v>
      </c>
      <c r="AW19" t="s">
        <v>296</v>
      </c>
      <c r="AX19">
        <v>1</v>
      </c>
      <c r="AY19" t="s">
        <v>297</v>
      </c>
      <c r="AZ19" t="s">
        <v>298</v>
      </c>
      <c r="BA19" t="s">
        <v>299</v>
      </c>
      <c r="BF19" t="s">
        <v>294</v>
      </c>
      <c r="BG19" t="s">
        <v>300</v>
      </c>
      <c r="BI19" t="s">
        <v>298</v>
      </c>
      <c r="BR19" t="s">
        <v>289</v>
      </c>
      <c r="BS19" t="s">
        <v>301</v>
      </c>
      <c r="BT19" t="s">
        <v>302</v>
      </c>
      <c r="BU19" t="s">
        <v>303</v>
      </c>
      <c r="BV19" t="s">
        <v>304</v>
      </c>
      <c r="BX19" t="s">
        <v>324</v>
      </c>
      <c r="BY19" t="s">
        <v>298</v>
      </c>
      <c r="BZ19" t="s">
        <v>403</v>
      </c>
      <c r="CA19" t="s">
        <v>410</v>
      </c>
      <c r="CC19" t="s">
        <v>308</v>
      </c>
      <c r="CD19" t="s">
        <v>309</v>
      </c>
      <c r="CE19" t="s">
        <v>294</v>
      </c>
      <c r="CH19" t="s">
        <v>304</v>
      </c>
      <c r="CI19" t="s">
        <v>304</v>
      </c>
      <c r="CK19" t="s">
        <v>418</v>
      </c>
      <c r="CL19" t="s">
        <v>311</v>
      </c>
      <c r="CM19" t="s">
        <v>298</v>
      </c>
      <c r="CO19" t="s">
        <v>312</v>
      </c>
      <c r="CT19" t="s">
        <v>294</v>
      </c>
      <c r="CU19" t="s">
        <v>405</v>
      </c>
      <c r="CW19" t="s">
        <v>406</v>
      </c>
      <c r="CX19" t="s">
        <v>316</v>
      </c>
      <c r="CZ19" t="s">
        <v>289</v>
      </c>
      <c r="DA19" t="s">
        <v>289</v>
      </c>
      <c r="DB19" t="s">
        <v>289</v>
      </c>
      <c r="DC19" t="s">
        <v>289</v>
      </c>
      <c r="DI19" t="s">
        <v>289</v>
      </c>
      <c r="DL19" t="s">
        <v>289</v>
      </c>
      <c r="DM19" t="s">
        <v>317</v>
      </c>
      <c r="DS19" t="s">
        <v>289</v>
      </c>
      <c r="DT19" t="s">
        <v>289</v>
      </c>
      <c r="DU19" t="s">
        <v>318</v>
      </c>
      <c r="DV19" t="s">
        <v>289</v>
      </c>
      <c r="DX19" t="s">
        <v>319</v>
      </c>
      <c r="EA19" t="s">
        <v>289</v>
      </c>
    </row>
    <row r="20" spans="1:131" x14ac:dyDescent="0.25">
      <c r="A20">
        <v>156669</v>
      </c>
      <c r="B20">
        <v>146978</v>
      </c>
      <c r="C20" t="str">
        <f>"100422653638"</f>
        <v>100422653638</v>
      </c>
      <c r="D20" t="s">
        <v>419</v>
      </c>
      <c r="E20" t="s">
        <v>420</v>
      </c>
      <c r="F20" t="s">
        <v>421</v>
      </c>
      <c r="G20" s="1">
        <v>40290</v>
      </c>
      <c r="I20" t="s">
        <v>286</v>
      </c>
      <c r="J20" t="s">
        <v>287</v>
      </c>
      <c r="K20" t="s">
        <v>288</v>
      </c>
      <c r="Q20" t="s">
        <v>289</v>
      </c>
      <c r="R20" t="str">
        <f>"КАЗАХСТАН, АКМОЛИНСКАЯ, ЗЕРЕНДИНСКИЙ РАЙОН, ЗЕРЕНДІ, 5, 2"</f>
        <v>КАЗАХСТАН, АКМОЛИНСКАЯ, ЗЕРЕНДИНСКИЙ РАЙОН, ЗЕРЕНДІ, 5, 2</v>
      </c>
      <c r="S20" t="str">
        <f>"ҚАЗАҚСТАН, АҚМОЛА, ЗЕРЕНДІ АУДАНЫ, ЗЕРЕНДІ, 5, 2"</f>
        <v>ҚАЗАҚСТАН, АҚМОЛА, ЗЕРЕНДІ АУДАНЫ, ЗЕРЕНДІ, 5, 2</v>
      </c>
      <c r="T20" t="str">
        <f>"ЗЕРЕНДІ, 5, 2"</f>
        <v>ЗЕРЕНДІ, 5, 2</v>
      </c>
      <c r="U20" t="str">
        <f>"ЗЕРЕНДІ, 5, 2"</f>
        <v>ЗЕРЕНДІ, 5, 2</v>
      </c>
      <c r="AC20" t="str">
        <f>"2016-09-01T00:00:00"</f>
        <v>2016-09-01T00:00:00</v>
      </c>
      <c r="AD20" t="str">
        <f>"1"</f>
        <v>1</v>
      </c>
      <c r="AE20" t="str">
        <f>"2024-09-01T22:52:28"</f>
        <v>2024-09-01T22:52:28</v>
      </c>
      <c r="AF20" t="str">
        <f>"2025-05-25T22:52:28"</f>
        <v>2025-05-25T22:52:28</v>
      </c>
      <c r="AG20" t="s">
        <v>290</v>
      </c>
      <c r="AH20" t="str">
        <f>"nargiza@mail.ru"</f>
        <v>nargiza@mail.ru</v>
      </c>
      <c r="AI20" t="s">
        <v>373</v>
      </c>
      <c r="AK20" t="s">
        <v>332</v>
      </c>
      <c r="AP20" t="s">
        <v>342</v>
      </c>
      <c r="AT20" t="s">
        <v>294</v>
      </c>
      <c r="AU20" t="s">
        <v>295</v>
      </c>
      <c r="AW20" t="s">
        <v>296</v>
      </c>
      <c r="AX20">
        <v>1</v>
      </c>
      <c r="AY20" t="s">
        <v>297</v>
      </c>
      <c r="AZ20" t="s">
        <v>298</v>
      </c>
      <c r="BA20" t="s">
        <v>299</v>
      </c>
      <c r="BF20" t="s">
        <v>294</v>
      </c>
      <c r="BG20" t="s">
        <v>300</v>
      </c>
      <c r="BI20" t="s">
        <v>298</v>
      </c>
      <c r="BR20" t="s">
        <v>289</v>
      </c>
      <c r="BS20" t="s">
        <v>301</v>
      </c>
      <c r="BT20" t="s">
        <v>302</v>
      </c>
      <c r="BU20" t="s">
        <v>303</v>
      </c>
      <c r="BV20" t="s">
        <v>304</v>
      </c>
      <c r="BX20" t="s">
        <v>324</v>
      </c>
      <c r="BY20" t="s">
        <v>298</v>
      </c>
      <c r="BZ20" t="s">
        <v>380</v>
      </c>
      <c r="CA20" t="s">
        <v>381</v>
      </c>
      <c r="CC20" t="s">
        <v>308</v>
      </c>
      <c r="CD20" t="s">
        <v>309</v>
      </c>
      <c r="CE20" t="s">
        <v>294</v>
      </c>
      <c r="CH20" t="s">
        <v>304</v>
      </c>
      <c r="CI20" t="s">
        <v>304</v>
      </c>
      <c r="CK20" t="s">
        <v>335</v>
      </c>
      <c r="CM20" t="s">
        <v>422</v>
      </c>
      <c r="CN20" t="s">
        <v>328</v>
      </c>
      <c r="CO20" t="s">
        <v>312</v>
      </c>
      <c r="CT20" t="s">
        <v>294</v>
      </c>
      <c r="CU20" t="s">
        <v>313</v>
      </c>
      <c r="CV20" t="s">
        <v>314</v>
      </c>
      <c r="CW20" t="s">
        <v>315</v>
      </c>
      <c r="CX20" t="s">
        <v>316</v>
      </c>
      <c r="CZ20" t="s">
        <v>289</v>
      </c>
      <c r="DA20" t="s">
        <v>289</v>
      </c>
      <c r="DB20" t="s">
        <v>289</v>
      </c>
      <c r="DC20" t="s">
        <v>289</v>
      </c>
      <c r="DI20" t="s">
        <v>289</v>
      </c>
      <c r="DL20" t="s">
        <v>289</v>
      </c>
      <c r="DM20" t="s">
        <v>317</v>
      </c>
      <c r="DS20" t="s">
        <v>289</v>
      </c>
      <c r="DT20" t="s">
        <v>289</v>
      </c>
      <c r="DU20" t="s">
        <v>318</v>
      </c>
      <c r="DV20" t="s">
        <v>289</v>
      </c>
      <c r="DX20" t="s">
        <v>319</v>
      </c>
      <c r="EA20" t="s">
        <v>289</v>
      </c>
    </row>
    <row r="21" spans="1:131" x14ac:dyDescent="0.25">
      <c r="A21">
        <v>156672</v>
      </c>
      <c r="B21">
        <v>146981</v>
      </c>
      <c r="C21" t="str">
        <f>"120111602330"</f>
        <v>120111602330</v>
      </c>
      <c r="D21" t="s">
        <v>423</v>
      </c>
      <c r="E21" t="s">
        <v>424</v>
      </c>
      <c r="F21" t="s">
        <v>425</v>
      </c>
      <c r="G21" s="1">
        <v>40919</v>
      </c>
      <c r="I21" t="s">
        <v>286</v>
      </c>
      <c r="J21" t="s">
        <v>287</v>
      </c>
      <c r="K21" t="s">
        <v>288</v>
      </c>
      <c r="Q21" t="s">
        <v>289</v>
      </c>
      <c r="R21" t="str">
        <f>"КАЗАХСТАН, АКМОЛИНСКАЯ, ЗЕРЕНДИНСКИЙ РАЙОН, Зерендинский, Зеренда, 26"</f>
        <v>КАЗАХСТАН, АКМОЛИНСКАЯ, ЗЕРЕНДИНСКИЙ РАЙОН, Зерендинский, Зеренда, 26</v>
      </c>
      <c r="S21" t="str">
        <f>"ҚАЗАҚСТАН, АҚМОЛА, ЗЕРЕНДІ АУДАНЫ, Зерендинский, Зеренда, 26"</f>
        <v>ҚАЗАҚСТАН, АҚМОЛА, ЗЕРЕНДІ АУДАНЫ, Зерендинский, Зеренда, 26</v>
      </c>
      <c r="T21" t="str">
        <f>"Зерендинский, Зеренда, 26"</f>
        <v>Зерендинский, Зеренда, 26</v>
      </c>
      <c r="U21" t="str">
        <f>"Зерендинский, Зеренда, 26"</f>
        <v>Зерендинский, Зеренда, 26</v>
      </c>
      <c r="AC21" t="str">
        <f>"2017-08-29T00:00:00"</f>
        <v>2017-08-29T00:00:00</v>
      </c>
      <c r="AD21" t="str">
        <f>"39"</f>
        <v>39</v>
      </c>
      <c r="AE21" t="str">
        <f>"2024-09-01T22:41:39"</f>
        <v>2024-09-01T22:41:39</v>
      </c>
      <c r="AF21" t="str">
        <f>"2025-05-25T22:41:39"</f>
        <v>2025-05-25T22:41:39</v>
      </c>
      <c r="AG21" t="s">
        <v>290</v>
      </c>
      <c r="AI21" t="s">
        <v>291</v>
      </c>
      <c r="AK21" t="s">
        <v>292</v>
      </c>
      <c r="AP21" t="s">
        <v>293</v>
      </c>
      <c r="AT21" t="s">
        <v>294</v>
      </c>
      <c r="AU21" t="s">
        <v>295</v>
      </c>
      <c r="AW21" t="s">
        <v>296</v>
      </c>
      <c r="AX21">
        <v>2</v>
      </c>
      <c r="AY21" t="s">
        <v>297</v>
      </c>
      <c r="AZ21" t="s">
        <v>298</v>
      </c>
      <c r="BA21" t="s">
        <v>349</v>
      </c>
      <c r="BE21" t="str">
        <f>"2020-08-26T17:26:20"</f>
        <v>2020-08-26T17:26:20</v>
      </c>
      <c r="BF21" t="s">
        <v>294</v>
      </c>
      <c r="BG21" t="s">
        <v>300</v>
      </c>
      <c r="BI21" t="s">
        <v>298</v>
      </c>
      <c r="BR21" t="s">
        <v>289</v>
      </c>
      <c r="BS21" t="s">
        <v>301</v>
      </c>
      <c r="BT21" t="s">
        <v>302</v>
      </c>
      <c r="BU21" t="s">
        <v>303</v>
      </c>
      <c r="BV21" t="s">
        <v>304</v>
      </c>
      <c r="BX21" t="s">
        <v>324</v>
      </c>
      <c r="BY21" t="s">
        <v>298</v>
      </c>
      <c r="BZ21" t="s">
        <v>306</v>
      </c>
      <c r="CA21" t="s">
        <v>387</v>
      </c>
      <c r="CC21" t="s">
        <v>308</v>
      </c>
      <c r="CD21" t="s">
        <v>309</v>
      </c>
      <c r="CE21" t="s">
        <v>294</v>
      </c>
      <c r="CH21" t="s">
        <v>304</v>
      </c>
      <c r="CI21" t="s">
        <v>304</v>
      </c>
      <c r="CK21" t="s">
        <v>426</v>
      </c>
      <c r="CL21" t="s">
        <v>311</v>
      </c>
      <c r="CM21" t="s">
        <v>298</v>
      </c>
      <c r="CO21" t="s">
        <v>312</v>
      </c>
      <c r="CT21" t="s">
        <v>294</v>
      </c>
      <c r="CU21" t="s">
        <v>313</v>
      </c>
      <c r="CV21" t="s">
        <v>314</v>
      </c>
      <c r="CW21" t="s">
        <v>315</v>
      </c>
      <c r="CX21" t="s">
        <v>316</v>
      </c>
      <c r="CZ21" t="s">
        <v>289</v>
      </c>
      <c r="DA21" t="s">
        <v>289</v>
      </c>
      <c r="DB21" t="s">
        <v>289</v>
      </c>
      <c r="DC21" t="s">
        <v>289</v>
      </c>
      <c r="DI21" t="s">
        <v>289</v>
      </c>
      <c r="DL21" t="s">
        <v>289</v>
      </c>
      <c r="DM21" t="s">
        <v>317</v>
      </c>
      <c r="DS21" t="s">
        <v>289</v>
      </c>
      <c r="DT21" t="s">
        <v>289</v>
      </c>
      <c r="DU21" t="s">
        <v>318</v>
      </c>
      <c r="DV21" t="s">
        <v>289</v>
      </c>
      <c r="DX21" t="s">
        <v>319</v>
      </c>
      <c r="EA21" t="s">
        <v>289</v>
      </c>
    </row>
    <row r="22" spans="1:131" x14ac:dyDescent="0.25">
      <c r="A22">
        <v>156685</v>
      </c>
      <c r="B22">
        <v>146991</v>
      </c>
      <c r="C22" t="str">
        <f>"111012600743"</f>
        <v>111012600743</v>
      </c>
      <c r="D22" t="s">
        <v>427</v>
      </c>
      <c r="E22" t="s">
        <v>428</v>
      </c>
      <c r="F22" t="s">
        <v>429</v>
      </c>
      <c r="G22" s="1">
        <v>40828</v>
      </c>
      <c r="I22" t="s">
        <v>286</v>
      </c>
      <c r="J22" t="s">
        <v>287</v>
      </c>
      <c r="K22" t="s">
        <v>288</v>
      </c>
      <c r="Q22" t="s">
        <v>289</v>
      </c>
      <c r="R22" t="str">
        <f>"КАЗАХСТАН, АКМОЛИНСКАЯ, ЗЕРЕНДИНСКИЙ РАЙОН, Зерендинский, Зеренда, 6, 1"</f>
        <v>КАЗАХСТАН, АКМОЛИНСКАЯ, ЗЕРЕНДИНСКИЙ РАЙОН, Зерендинский, Зеренда, 6, 1</v>
      </c>
      <c r="S22" t="str">
        <f>"ҚАЗАҚСТАН, АҚМОЛА, ЗЕРЕНДІ АУДАНЫ, Зерендинский, Зеренда, 6, 1"</f>
        <v>ҚАЗАҚСТАН, АҚМОЛА, ЗЕРЕНДІ АУДАНЫ, Зерендинский, Зеренда, 6, 1</v>
      </c>
      <c r="T22" t="str">
        <f>"Зерендинский, Зеренда, 6, 1"</f>
        <v>Зерендинский, Зеренда, 6, 1</v>
      </c>
      <c r="U22" t="str">
        <f>"Зерендинский, Зеренда, 6, 1"</f>
        <v>Зерендинский, Зеренда, 6, 1</v>
      </c>
      <c r="AC22" t="str">
        <f>"2017-08-22T00:00:00"</f>
        <v>2017-08-22T00:00:00</v>
      </c>
      <c r="AD22" t="str">
        <f>"32"</f>
        <v>32</v>
      </c>
      <c r="AE22" t="str">
        <f>"2024-09-01T22:41:42"</f>
        <v>2024-09-01T22:41:42</v>
      </c>
      <c r="AF22" t="str">
        <f>"2025-05-25T22:41:42"</f>
        <v>2025-05-25T22:41:42</v>
      </c>
      <c r="AG22" t="s">
        <v>290</v>
      </c>
      <c r="AI22" t="s">
        <v>291</v>
      </c>
      <c r="AK22" t="s">
        <v>292</v>
      </c>
      <c r="AP22" t="s">
        <v>342</v>
      </c>
      <c r="AT22" t="s">
        <v>294</v>
      </c>
      <c r="AU22" t="s">
        <v>295</v>
      </c>
      <c r="AW22" t="s">
        <v>296</v>
      </c>
      <c r="AX22">
        <v>2</v>
      </c>
      <c r="AY22" t="s">
        <v>297</v>
      </c>
      <c r="AZ22" t="s">
        <v>298</v>
      </c>
      <c r="BA22" t="s">
        <v>323</v>
      </c>
      <c r="BF22" t="s">
        <v>294</v>
      </c>
      <c r="BG22" t="s">
        <v>300</v>
      </c>
      <c r="BI22" t="s">
        <v>298</v>
      </c>
      <c r="BR22" t="s">
        <v>289</v>
      </c>
      <c r="BS22" t="s">
        <v>301</v>
      </c>
      <c r="BT22" t="s">
        <v>302</v>
      </c>
      <c r="BU22" t="s">
        <v>303</v>
      </c>
      <c r="BV22" t="s">
        <v>304</v>
      </c>
      <c r="BX22" t="s">
        <v>324</v>
      </c>
      <c r="BY22" t="s">
        <v>298</v>
      </c>
      <c r="BZ22" t="s">
        <v>306</v>
      </c>
      <c r="CA22" t="s">
        <v>325</v>
      </c>
      <c r="CC22" t="s">
        <v>308</v>
      </c>
      <c r="CD22" t="s">
        <v>309</v>
      </c>
      <c r="CE22" t="s">
        <v>294</v>
      </c>
      <c r="CH22" t="s">
        <v>304</v>
      </c>
      <c r="CI22" t="s">
        <v>304</v>
      </c>
      <c r="CK22" t="s">
        <v>361</v>
      </c>
      <c r="CL22" t="s">
        <v>328</v>
      </c>
      <c r="CM22" t="s">
        <v>327</v>
      </c>
      <c r="CN22" t="s">
        <v>328</v>
      </c>
      <c r="CO22" t="s">
        <v>312</v>
      </c>
      <c r="CT22" t="s">
        <v>294</v>
      </c>
      <c r="CU22" t="s">
        <v>313</v>
      </c>
      <c r="CV22" t="s">
        <v>314</v>
      </c>
      <c r="CW22" t="s">
        <v>315</v>
      </c>
      <c r="CX22" t="s">
        <v>316</v>
      </c>
      <c r="CZ22" t="s">
        <v>289</v>
      </c>
      <c r="DA22" t="s">
        <v>289</v>
      </c>
      <c r="DB22" t="s">
        <v>289</v>
      </c>
      <c r="DC22" t="s">
        <v>289</v>
      </c>
      <c r="DI22" t="s">
        <v>289</v>
      </c>
      <c r="DL22" t="s">
        <v>289</v>
      </c>
      <c r="DM22" t="s">
        <v>317</v>
      </c>
      <c r="DS22" t="s">
        <v>289</v>
      </c>
      <c r="DT22" t="s">
        <v>289</v>
      </c>
      <c r="DU22" t="s">
        <v>318</v>
      </c>
      <c r="DV22" t="s">
        <v>289</v>
      </c>
      <c r="DX22" t="s">
        <v>319</v>
      </c>
      <c r="EA22" t="s">
        <v>289</v>
      </c>
    </row>
    <row r="23" spans="1:131" x14ac:dyDescent="0.25">
      <c r="A23">
        <v>156711</v>
      </c>
      <c r="B23">
        <v>147012</v>
      </c>
      <c r="C23" t="str">
        <f>"090818550687"</f>
        <v>090818550687</v>
      </c>
      <c r="D23" t="s">
        <v>430</v>
      </c>
      <c r="E23" t="s">
        <v>431</v>
      </c>
      <c r="F23" t="s">
        <v>432</v>
      </c>
      <c r="G23" s="1">
        <v>40043</v>
      </c>
      <c r="I23" t="s">
        <v>353</v>
      </c>
      <c r="J23" t="s">
        <v>287</v>
      </c>
      <c r="K23" t="s">
        <v>288</v>
      </c>
      <c r="Q23" t="s">
        <v>289</v>
      </c>
      <c r="R23" t="str">
        <f>"КАЗАХСТАН, АКМОЛИНСКАЯ, ЗЕРЕНДИНСКИЙ РАЙОН, Троицкий, Троицкое, 17"</f>
        <v>КАЗАХСТАН, АКМОЛИНСКАЯ, ЗЕРЕНДИНСКИЙ РАЙОН, Троицкий, Троицкое, 17</v>
      </c>
      <c r="S23" t="str">
        <f>"ҚАЗАҚСТАН, АҚМОЛА, ЗЕРЕНДІ АУДАНЫ, Троицкий, Троицкое, 17"</f>
        <v>ҚАЗАҚСТАН, АҚМОЛА, ЗЕРЕНДІ АУДАНЫ, Троицкий, Троицкое, 17</v>
      </c>
      <c r="T23" t="str">
        <f>"Троицкий, Троицкое, 17"</f>
        <v>Троицкий, Троицкое, 17</v>
      </c>
      <c r="U23" t="str">
        <f>"Троицкий, Троицкое, 17"</f>
        <v>Троицкий, Троицкое, 17</v>
      </c>
      <c r="AC23" t="str">
        <f>"2017-08-24T00:00:00"</f>
        <v>2017-08-24T00:00:00</v>
      </c>
      <c r="AD23" t="str">
        <f>"121"</f>
        <v>121</v>
      </c>
      <c r="AE23" t="str">
        <f>"2024-09-01T22:52:29"</f>
        <v>2024-09-01T22:52:29</v>
      </c>
      <c r="AF23" t="str">
        <f>"2025-05-25T22:52:29"</f>
        <v>2025-05-25T22:52:29</v>
      </c>
      <c r="AG23" t="s">
        <v>290</v>
      </c>
      <c r="AH23" t="str">
        <f>"Nuradil@mail.ru"</f>
        <v>Nuradil@mail.ru</v>
      </c>
      <c r="AI23" t="s">
        <v>291</v>
      </c>
      <c r="AK23" t="s">
        <v>332</v>
      </c>
      <c r="AP23" t="s">
        <v>293</v>
      </c>
      <c r="AT23" t="s">
        <v>294</v>
      </c>
      <c r="AU23" t="s">
        <v>295</v>
      </c>
      <c r="AW23" t="s">
        <v>296</v>
      </c>
      <c r="AX23">
        <v>1</v>
      </c>
      <c r="AY23" t="s">
        <v>297</v>
      </c>
      <c r="AZ23" t="s">
        <v>298</v>
      </c>
      <c r="BA23" t="s">
        <v>323</v>
      </c>
      <c r="BF23" t="s">
        <v>294</v>
      </c>
      <c r="BG23" t="s">
        <v>300</v>
      </c>
      <c r="BI23" t="s">
        <v>298</v>
      </c>
      <c r="BR23" t="s">
        <v>289</v>
      </c>
      <c r="BS23" t="s">
        <v>433</v>
      </c>
      <c r="BT23" t="s">
        <v>434</v>
      </c>
      <c r="BU23" t="s">
        <v>303</v>
      </c>
      <c r="BV23" t="s">
        <v>304</v>
      </c>
      <c r="BX23" t="s">
        <v>305</v>
      </c>
      <c r="BY23" t="s">
        <v>298</v>
      </c>
      <c r="BZ23" t="s">
        <v>333</v>
      </c>
      <c r="CA23" t="s">
        <v>334</v>
      </c>
      <c r="CC23" t="s">
        <v>308</v>
      </c>
      <c r="CD23" t="s">
        <v>309</v>
      </c>
      <c r="CE23" t="s">
        <v>294</v>
      </c>
      <c r="CH23" t="s">
        <v>304</v>
      </c>
      <c r="CI23" t="s">
        <v>304</v>
      </c>
      <c r="CK23" t="s">
        <v>335</v>
      </c>
      <c r="CM23" t="s">
        <v>435</v>
      </c>
      <c r="CN23" t="s">
        <v>311</v>
      </c>
      <c r="CO23" t="s">
        <v>312</v>
      </c>
      <c r="CT23" t="s">
        <v>294</v>
      </c>
      <c r="CU23" t="s">
        <v>313</v>
      </c>
      <c r="CV23" t="s">
        <v>314</v>
      </c>
      <c r="CW23" t="s">
        <v>315</v>
      </c>
      <c r="CX23" t="s">
        <v>316</v>
      </c>
      <c r="CZ23" t="s">
        <v>289</v>
      </c>
      <c r="DA23" t="s">
        <v>289</v>
      </c>
      <c r="DB23" t="s">
        <v>289</v>
      </c>
      <c r="DC23" t="s">
        <v>289</v>
      </c>
      <c r="DI23" t="s">
        <v>289</v>
      </c>
      <c r="DL23" t="s">
        <v>289</v>
      </c>
      <c r="DM23" t="s">
        <v>317</v>
      </c>
      <c r="DS23" t="s">
        <v>289</v>
      </c>
      <c r="DT23" t="s">
        <v>289</v>
      </c>
      <c r="DU23" t="s">
        <v>318</v>
      </c>
      <c r="DV23" t="s">
        <v>289</v>
      </c>
      <c r="DX23" t="s">
        <v>319</v>
      </c>
      <c r="EA23" t="s">
        <v>289</v>
      </c>
    </row>
    <row r="24" spans="1:131" x14ac:dyDescent="0.25">
      <c r="A24">
        <v>156717</v>
      </c>
      <c r="B24">
        <v>147016</v>
      </c>
      <c r="C24" t="str">
        <f>"110724601313"</f>
        <v>110724601313</v>
      </c>
      <c r="D24" t="s">
        <v>436</v>
      </c>
      <c r="E24" t="s">
        <v>437</v>
      </c>
      <c r="G24" s="1">
        <v>40748</v>
      </c>
      <c r="I24" t="s">
        <v>286</v>
      </c>
      <c r="J24" t="s">
        <v>287</v>
      </c>
      <c r="K24" t="s">
        <v>288</v>
      </c>
      <c r="Q24" t="s">
        <v>289</v>
      </c>
      <c r="R24" t="str">
        <f>"КАЗАХСТАН, АКМОЛИНСКАЯ, ЗЕРЕНДИНСКИЙ РАЙОН, Зерендинский, Зеренда, 89"</f>
        <v>КАЗАХСТАН, АКМОЛИНСКАЯ, ЗЕРЕНДИНСКИЙ РАЙОН, Зерендинский, Зеренда, 89</v>
      </c>
      <c r="S24" t="str">
        <f>"ҚАЗАҚСТАН, АҚМОЛА, ЗЕРЕНДІ АУДАНЫ, Зерендинский, Зеренда, 89"</f>
        <v>ҚАЗАҚСТАН, АҚМОЛА, ЗЕРЕНДІ АУДАНЫ, Зерендинский, Зеренда, 89</v>
      </c>
      <c r="T24" t="str">
        <f>"Зерендинский, Зеренда, 89"</f>
        <v>Зерендинский, Зеренда, 89</v>
      </c>
      <c r="U24" t="str">
        <f>"Зерендинский, Зеренда, 89"</f>
        <v>Зерендинский, Зеренда, 89</v>
      </c>
      <c r="AC24" t="str">
        <f>"2017-08-28T00:00:00"</f>
        <v>2017-08-28T00:00:00</v>
      </c>
      <c r="AD24" t="str">
        <f>"39"</f>
        <v>39</v>
      </c>
      <c r="AE24" t="str">
        <f>"2024-09-01T22:41:54"</f>
        <v>2024-09-01T22:41:54</v>
      </c>
      <c r="AF24" t="str">
        <f>"2025-05-25T22:41:54"</f>
        <v>2025-05-25T22:41:54</v>
      </c>
      <c r="AG24" t="s">
        <v>290</v>
      </c>
      <c r="AI24" t="s">
        <v>291</v>
      </c>
      <c r="AK24" t="s">
        <v>292</v>
      </c>
      <c r="AP24" t="s">
        <v>342</v>
      </c>
      <c r="AT24" t="s">
        <v>294</v>
      </c>
      <c r="AU24" t="s">
        <v>295</v>
      </c>
      <c r="AW24" t="s">
        <v>296</v>
      </c>
      <c r="AX24">
        <v>2</v>
      </c>
      <c r="AY24" t="s">
        <v>297</v>
      </c>
      <c r="AZ24" t="s">
        <v>298</v>
      </c>
      <c r="BA24" t="s">
        <v>299</v>
      </c>
      <c r="BF24" t="s">
        <v>294</v>
      </c>
      <c r="BG24" t="s">
        <v>300</v>
      </c>
      <c r="BI24" t="s">
        <v>298</v>
      </c>
      <c r="BR24" t="s">
        <v>289</v>
      </c>
      <c r="BS24" t="s">
        <v>301</v>
      </c>
      <c r="BT24" t="s">
        <v>302</v>
      </c>
      <c r="BU24" t="s">
        <v>303</v>
      </c>
      <c r="BV24" t="s">
        <v>304</v>
      </c>
      <c r="BX24" t="s">
        <v>324</v>
      </c>
      <c r="BY24" t="s">
        <v>298</v>
      </c>
      <c r="BZ24" t="s">
        <v>306</v>
      </c>
      <c r="CA24" t="s">
        <v>387</v>
      </c>
      <c r="CC24" t="s">
        <v>308</v>
      </c>
      <c r="CD24" t="s">
        <v>309</v>
      </c>
      <c r="CE24" t="s">
        <v>294</v>
      </c>
      <c r="CH24" t="s">
        <v>304</v>
      </c>
      <c r="CI24" t="s">
        <v>304</v>
      </c>
      <c r="CK24" t="s">
        <v>438</v>
      </c>
      <c r="CL24" t="s">
        <v>311</v>
      </c>
      <c r="CM24" t="s">
        <v>439</v>
      </c>
      <c r="CN24" t="s">
        <v>367</v>
      </c>
      <c r="CO24" t="s">
        <v>312</v>
      </c>
      <c r="CT24" t="s">
        <v>294</v>
      </c>
      <c r="CU24" t="s">
        <v>313</v>
      </c>
      <c r="CV24" t="s">
        <v>314</v>
      </c>
      <c r="CW24" t="s">
        <v>315</v>
      </c>
      <c r="CX24" t="s">
        <v>316</v>
      </c>
      <c r="CZ24" t="s">
        <v>289</v>
      </c>
      <c r="DA24" t="s">
        <v>289</v>
      </c>
      <c r="DB24" t="s">
        <v>289</v>
      </c>
      <c r="DC24" t="s">
        <v>289</v>
      </c>
      <c r="DI24" t="s">
        <v>289</v>
      </c>
      <c r="DL24" t="s">
        <v>289</v>
      </c>
      <c r="DM24" t="s">
        <v>317</v>
      </c>
      <c r="DS24" t="s">
        <v>289</v>
      </c>
      <c r="DT24" t="s">
        <v>289</v>
      </c>
      <c r="DU24" t="s">
        <v>318</v>
      </c>
      <c r="DV24" t="s">
        <v>289</v>
      </c>
      <c r="DX24" t="s">
        <v>319</v>
      </c>
      <c r="EA24" t="s">
        <v>289</v>
      </c>
    </row>
    <row r="25" spans="1:131" x14ac:dyDescent="0.25">
      <c r="A25">
        <v>156735</v>
      </c>
      <c r="B25">
        <v>147032</v>
      </c>
      <c r="C25" t="str">
        <f>"100423550218"</f>
        <v>100423550218</v>
      </c>
      <c r="D25" t="s">
        <v>440</v>
      </c>
      <c r="E25" t="s">
        <v>441</v>
      </c>
      <c r="F25" t="s">
        <v>442</v>
      </c>
      <c r="G25" s="1">
        <v>40291</v>
      </c>
      <c r="I25" t="s">
        <v>353</v>
      </c>
      <c r="J25" t="s">
        <v>287</v>
      </c>
      <c r="K25" t="s">
        <v>288</v>
      </c>
      <c r="Q25" t="s">
        <v>289</v>
      </c>
      <c r="R25" t="str">
        <f>"КАЗАХСТАН, АКМОЛИНСКАЯ, ЗЕРЕНДИНСКИЙ РАЙОН, ЗЕРЕНДА, 34, 1"</f>
        <v>КАЗАХСТАН, АКМОЛИНСКАЯ, ЗЕРЕНДИНСКИЙ РАЙОН, ЗЕРЕНДА, 34, 1</v>
      </c>
      <c r="S25" t="str">
        <f>"ҚАЗАҚСТАН, АҚМОЛА, ЗЕРЕНДІ АУДАНЫ, ЗЕРЕНДА, 34, 1"</f>
        <v>ҚАЗАҚСТАН, АҚМОЛА, ЗЕРЕНДІ АУДАНЫ, ЗЕРЕНДА, 34, 1</v>
      </c>
      <c r="T25" t="str">
        <f>"ЗЕРЕНДА, 34, 1"</f>
        <v>ЗЕРЕНДА, 34, 1</v>
      </c>
      <c r="U25" t="str">
        <f>"ЗЕРЕНДА, 34, 1"</f>
        <v>ЗЕРЕНДА, 34, 1</v>
      </c>
      <c r="AC25" t="str">
        <f>"2016-09-01T00:00:00"</f>
        <v>2016-09-01T00:00:00</v>
      </c>
      <c r="AD25" t="str">
        <f>"1"</f>
        <v>1</v>
      </c>
      <c r="AE25" t="str">
        <f>"2024-09-01T22:53:29"</f>
        <v>2024-09-01T22:53:29</v>
      </c>
      <c r="AF25" t="str">
        <f>"2025-05-25T22:53:29"</f>
        <v>2025-05-25T22:53:29</v>
      </c>
      <c r="AG25" t="s">
        <v>290</v>
      </c>
      <c r="AH25" t="str">
        <f>"gulnur.shaimerden01@mail.ru"</f>
        <v>gulnur.shaimerden01@mail.ru</v>
      </c>
      <c r="AI25" t="s">
        <v>373</v>
      </c>
      <c r="AK25" t="s">
        <v>332</v>
      </c>
      <c r="AP25" t="s">
        <v>293</v>
      </c>
      <c r="AT25" t="s">
        <v>294</v>
      </c>
      <c r="AU25" t="s">
        <v>295</v>
      </c>
      <c r="AW25" t="s">
        <v>296</v>
      </c>
      <c r="AX25">
        <v>1</v>
      </c>
      <c r="AY25" t="s">
        <v>297</v>
      </c>
      <c r="AZ25" t="s">
        <v>298</v>
      </c>
      <c r="BA25" t="s">
        <v>323</v>
      </c>
      <c r="BF25" t="s">
        <v>294</v>
      </c>
      <c r="BG25" t="s">
        <v>300</v>
      </c>
      <c r="BI25" t="s">
        <v>298</v>
      </c>
      <c r="BR25" t="s">
        <v>289</v>
      </c>
      <c r="BS25" t="s">
        <v>301</v>
      </c>
      <c r="BT25" t="s">
        <v>302</v>
      </c>
      <c r="BU25" t="s">
        <v>303</v>
      </c>
      <c r="BV25" t="s">
        <v>304</v>
      </c>
      <c r="BX25" t="s">
        <v>324</v>
      </c>
      <c r="BY25" t="s">
        <v>298</v>
      </c>
      <c r="BZ25" t="s">
        <v>333</v>
      </c>
      <c r="CA25" t="s">
        <v>325</v>
      </c>
      <c r="CC25" t="s">
        <v>308</v>
      </c>
      <c r="CD25" t="s">
        <v>309</v>
      </c>
      <c r="CE25" t="s">
        <v>294</v>
      </c>
      <c r="CH25" t="s">
        <v>304</v>
      </c>
      <c r="CI25" t="s">
        <v>304</v>
      </c>
      <c r="CK25" t="s">
        <v>335</v>
      </c>
      <c r="CM25" t="s">
        <v>327</v>
      </c>
      <c r="CN25" t="s">
        <v>328</v>
      </c>
      <c r="CO25" t="s">
        <v>312</v>
      </c>
      <c r="CT25" t="s">
        <v>294</v>
      </c>
      <c r="CU25" t="s">
        <v>313</v>
      </c>
      <c r="CV25" t="s">
        <v>314</v>
      </c>
      <c r="CW25" t="s">
        <v>315</v>
      </c>
      <c r="CX25" t="s">
        <v>316</v>
      </c>
      <c r="CZ25" t="s">
        <v>289</v>
      </c>
      <c r="DA25" t="s">
        <v>289</v>
      </c>
      <c r="DB25" t="s">
        <v>289</v>
      </c>
      <c r="DC25" t="s">
        <v>289</v>
      </c>
      <c r="DI25" t="s">
        <v>289</v>
      </c>
      <c r="DL25" t="s">
        <v>289</v>
      </c>
      <c r="DM25" t="s">
        <v>317</v>
      </c>
      <c r="DS25" t="s">
        <v>289</v>
      </c>
      <c r="DT25" t="s">
        <v>289</v>
      </c>
      <c r="DU25" t="s">
        <v>318</v>
      </c>
      <c r="DV25" t="s">
        <v>289</v>
      </c>
      <c r="DX25" t="s">
        <v>319</v>
      </c>
      <c r="EA25" t="s">
        <v>294</v>
      </c>
    </row>
    <row r="26" spans="1:131" x14ac:dyDescent="0.25">
      <c r="A26">
        <v>156741</v>
      </c>
      <c r="B26">
        <v>147038</v>
      </c>
      <c r="C26" t="str">
        <f>"100204651727"</f>
        <v>100204651727</v>
      </c>
      <c r="D26" t="s">
        <v>415</v>
      </c>
      <c r="E26" t="s">
        <v>443</v>
      </c>
      <c r="F26" t="s">
        <v>444</v>
      </c>
      <c r="G26" s="1">
        <v>40213</v>
      </c>
      <c r="I26" t="s">
        <v>286</v>
      </c>
      <c r="J26" t="s">
        <v>287</v>
      </c>
      <c r="K26" t="s">
        <v>288</v>
      </c>
      <c r="Q26" t="s">
        <v>289</v>
      </c>
      <c r="R26" t="str">
        <f>"КАЗАХСТАН, АКМОЛИНСКАЯ, ЗЕРЕНДИНСКИЙ РАЙОН, Зерендинский, Зеренда, 5"</f>
        <v>КАЗАХСТАН, АКМОЛИНСКАЯ, ЗЕРЕНДИНСКИЙ РАЙОН, Зерендинский, Зеренда, 5</v>
      </c>
      <c r="S26" t="str">
        <f>"ҚАЗАҚСТАН, АҚМОЛА, ЗЕРЕНДІ АУДАНЫ, Зерендинский, Зеренда, 5"</f>
        <v>ҚАЗАҚСТАН, АҚМОЛА, ЗЕРЕНДІ АУДАНЫ, Зерендинский, Зеренда, 5</v>
      </c>
      <c r="T26" t="str">
        <f>"Зерендинский, Зеренда, 5"</f>
        <v>Зерендинский, Зеренда, 5</v>
      </c>
      <c r="U26" t="str">
        <f>"Зерендинский, Зеренда, 5"</f>
        <v>Зерендинский, Зеренда, 5</v>
      </c>
      <c r="AC26" t="str">
        <f>"2015-09-01T00:00:00"</f>
        <v>2015-09-01T00:00:00</v>
      </c>
      <c r="AD26" t="str">
        <f>"1"</f>
        <v>1</v>
      </c>
      <c r="AE26" t="str">
        <f>"2024-09-01T18:34:18"</f>
        <v>2024-09-01T18:34:18</v>
      </c>
      <c r="AF26" t="str">
        <f>"2025-05-25T18:34:18"</f>
        <v>2025-05-25T18:34:18</v>
      </c>
      <c r="AG26" t="s">
        <v>290</v>
      </c>
      <c r="AH26" t="str">
        <f>"madikaR@mail.ru"</f>
        <v>madikaR@mail.ru</v>
      </c>
      <c r="AI26" t="s">
        <v>291</v>
      </c>
      <c r="AK26" t="s">
        <v>402</v>
      </c>
      <c r="AP26" t="s">
        <v>342</v>
      </c>
      <c r="AT26" t="s">
        <v>294</v>
      </c>
      <c r="AU26" t="s">
        <v>295</v>
      </c>
      <c r="AW26" t="s">
        <v>296</v>
      </c>
      <c r="AX26">
        <v>1</v>
      </c>
      <c r="AY26" t="s">
        <v>297</v>
      </c>
      <c r="AZ26" t="s">
        <v>298</v>
      </c>
      <c r="BA26" t="s">
        <v>299</v>
      </c>
      <c r="BF26" t="s">
        <v>294</v>
      </c>
      <c r="BG26" t="s">
        <v>300</v>
      </c>
      <c r="BI26" t="s">
        <v>298</v>
      </c>
      <c r="BR26" t="s">
        <v>289</v>
      </c>
      <c r="BS26" t="s">
        <v>301</v>
      </c>
      <c r="BT26" t="s">
        <v>302</v>
      </c>
      <c r="BU26" t="s">
        <v>303</v>
      </c>
      <c r="BV26" t="s">
        <v>304</v>
      </c>
      <c r="BX26" t="s">
        <v>392</v>
      </c>
      <c r="BY26" t="s">
        <v>298</v>
      </c>
      <c r="BZ26" t="s">
        <v>403</v>
      </c>
      <c r="CA26" t="s">
        <v>404</v>
      </c>
      <c r="CC26" t="s">
        <v>308</v>
      </c>
      <c r="CD26" t="s">
        <v>309</v>
      </c>
      <c r="CE26" t="s">
        <v>294</v>
      </c>
      <c r="CH26" t="s">
        <v>304</v>
      </c>
      <c r="CI26" t="s">
        <v>304</v>
      </c>
      <c r="CK26" t="s">
        <v>382</v>
      </c>
      <c r="CL26" t="s">
        <v>328</v>
      </c>
      <c r="CM26" t="s">
        <v>298</v>
      </c>
      <c r="CO26" t="s">
        <v>312</v>
      </c>
      <c r="CT26" t="s">
        <v>294</v>
      </c>
      <c r="CU26" t="s">
        <v>405</v>
      </c>
      <c r="CW26" t="s">
        <v>406</v>
      </c>
      <c r="CX26" t="s">
        <v>316</v>
      </c>
      <c r="CZ26" t="s">
        <v>289</v>
      </c>
      <c r="DA26" t="s">
        <v>289</v>
      </c>
      <c r="DB26" t="s">
        <v>289</v>
      </c>
      <c r="DC26" t="s">
        <v>289</v>
      </c>
      <c r="DI26" t="s">
        <v>289</v>
      </c>
      <c r="DL26" t="s">
        <v>289</v>
      </c>
      <c r="DM26" t="s">
        <v>317</v>
      </c>
      <c r="DS26" t="s">
        <v>289</v>
      </c>
      <c r="DT26" t="s">
        <v>289</v>
      </c>
      <c r="DU26" t="s">
        <v>318</v>
      </c>
      <c r="DV26" t="s">
        <v>289</v>
      </c>
      <c r="DX26" t="s">
        <v>319</v>
      </c>
      <c r="EA26" t="s">
        <v>289</v>
      </c>
    </row>
    <row r="27" spans="1:131" x14ac:dyDescent="0.25">
      <c r="A27">
        <v>156746</v>
      </c>
      <c r="B27">
        <v>147041</v>
      </c>
      <c r="C27" t="str">
        <f>"100119650539"</f>
        <v>100119650539</v>
      </c>
      <c r="D27" t="s">
        <v>445</v>
      </c>
      <c r="E27" t="s">
        <v>446</v>
      </c>
      <c r="F27" t="s">
        <v>447</v>
      </c>
      <c r="G27" s="1">
        <v>40197</v>
      </c>
      <c r="I27" t="s">
        <v>286</v>
      </c>
      <c r="J27" t="s">
        <v>287</v>
      </c>
      <c r="K27" t="s">
        <v>288</v>
      </c>
      <c r="Q27" t="s">
        <v>289</v>
      </c>
      <c r="R27" t="str">
        <f>"КАЗАХСТАН, АКМОЛИНСКАЯ, ЗЕРЕНДИНСКИЙ РАЙОН, Зерендинский, Зеренда, 5"</f>
        <v>КАЗАХСТАН, АКМОЛИНСКАЯ, ЗЕРЕНДИНСКИЙ РАЙОН, Зерендинский, Зеренда, 5</v>
      </c>
      <c r="S27" t="str">
        <f>"ҚАЗАҚСТАН, АҚМОЛА, ЗЕРЕНДІ АУДАНЫ, Зерендинский, Зеренда, 5"</f>
        <v>ҚАЗАҚСТАН, АҚМОЛА, ЗЕРЕНДІ АУДАНЫ, Зерендинский, Зеренда, 5</v>
      </c>
      <c r="T27" t="str">
        <f>"Зерендинский, Зеренда, 5"</f>
        <v>Зерендинский, Зеренда, 5</v>
      </c>
      <c r="U27" t="str">
        <f>"Зерендинский, Зеренда, 5"</f>
        <v>Зерендинский, Зеренда, 5</v>
      </c>
      <c r="AC27" t="str">
        <f>"2015-09-01T00:00:00"</f>
        <v>2015-09-01T00:00:00</v>
      </c>
      <c r="AD27" t="str">
        <f>"1"</f>
        <v>1</v>
      </c>
      <c r="AE27" t="str">
        <f>"2024-09-01T18:35:48"</f>
        <v>2024-09-01T18:35:48</v>
      </c>
      <c r="AF27" t="str">
        <f>"2025-05-25T18:35:48"</f>
        <v>2025-05-25T18:35:48</v>
      </c>
      <c r="AG27" t="s">
        <v>290</v>
      </c>
      <c r="AH27" t="str">
        <f>"Dayana@gmail.kz"</f>
        <v>Dayana@gmail.kz</v>
      </c>
      <c r="AI27" t="s">
        <v>373</v>
      </c>
      <c r="AK27" t="s">
        <v>402</v>
      </c>
      <c r="AP27" t="s">
        <v>342</v>
      </c>
      <c r="AT27" t="s">
        <v>294</v>
      </c>
      <c r="AU27" t="s">
        <v>295</v>
      </c>
      <c r="AW27" t="s">
        <v>296</v>
      </c>
      <c r="AX27">
        <v>1</v>
      </c>
      <c r="AY27" t="s">
        <v>297</v>
      </c>
      <c r="AZ27" t="s">
        <v>298</v>
      </c>
      <c r="BA27" t="s">
        <v>349</v>
      </c>
      <c r="BF27" t="s">
        <v>294</v>
      </c>
      <c r="BG27" t="s">
        <v>300</v>
      </c>
      <c r="BI27" t="s">
        <v>298</v>
      </c>
      <c r="BR27" t="s">
        <v>289</v>
      </c>
      <c r="BS27" t="s">
        <v>301</v>
      </c>
      <c r="BT27" t="s">
        <v>302</v>
      </c>
      <c r="BU27" t="s">
        <v>303</v>
      </c>
      <c r="BV27" t="s">
        <v>304</v>
      </c>
      <c r="BX27" t="s">
        <v>392</v>
      </c>
      <c r="BY27" t="s">
        <v>298</v>
      </c>
      <c r="BZ27" t="s">
        <v>403</v>
      </c>
      <c r="CA27" t="s">
        <v>404</v>
      </c>
      <c r="CC27" t="s">
        <v>308</v>
      </c>
      <c r="CD27" t="s">
        <v>309</v>
      </c>
      <c r="CE27" t="s">
        <v>294</v>
      </c>
      <c r="CH27" t="s">
        <v>304</v>
      </c>
      <c r="CI27" t="s">
        <v>304</v>
      </c>
      <c r="CK27" t="s">
        <v>335</v>
      </c>
      <c r="CM27" t="s">
        <v>327</v>
      </c>
      <c r="CN27" t="s">
        <v>328</v>
      </c>
      <c r="CO27" t="s">
        <v>312</v>
      </c>
      <c r="CT27" t="s">
        <v>294</v>
      </c>
      <c r="CU27" t="s">
        <v>405</v>
      </c>
      <c r="CW27" t="s">
        <v>406</v>
      </c>
      <c r="CX27" t="s">
        <v>316</v>
      </c>
      <c r="CZ27" t="s">
        <v>289</v>
      </c>
      <c r="DA27" t="s">
        <v>289</v>
      </c>
      <c r="DB27" t="s">
        <v>289</v>
      </c>
      <c r="DC27" t="s">
        <v>289</v>
      </c>
      <c r="DI27" t="s">
        <v>289</v>
      </c>
      <c r="DL27" t="s">
        <v>289</v>
      </c>
      <c r="DM27" t="s">
        <v>317</v>
      </c>
      <c r="DS27" t="s">
        <v>289</v>
      </c>
      <c r="DT27" t="s">
        <v>289</v>
      </c>
      <c r="DU27" t="s">
        <v>318</v>
      </c>
      <c r="DV27" t="s">
        <v>289</v>
      </c>
      <c r="DX27" t="s">
        <v>319</v>
      </c>
      <c r="EA27" t="s">
        <v>294</v>
      </c>
    </row>
    <row r="28" spans="1:131" x14ac:dyDescent="0.25">
      <c r="A28">
        <v>156752</v>
      </c>
      <c r="B28">
        <v>147047</v>
      </c>
      <c r="C28" t="str">
        <f>"100608653422"</f>
        <v>100608653422</v>
      </c>
      <c r="D28" t="s">
        <v>448</v>
      </c>
      <c r="E28" t="s">
        <v>449</v>
      </c>
      <c r="F28" t="s">
        <v>450</v>
      </c>
      <c r="G28" s="1">
        <v>40337</v>
      </c>
      <c r="I28" t="s">
        <v>286</v>
      </c>
      <c r="J28" t="s">
        <v>287</v>
      </c>
      <c r="K28" t="s">
        <v>288</v>
      </c>
      <c r="Q28" t="s">
        <v>289</v>
      </c>
      <c r="R28" t="str">
        <f>"КАЗАХСТАН, АКМОЛИНСКАЯ, ЗЕРЕНДИНСКИЙ РАЙОН, Зерендинский, Зеренда, 23, 6"</f>
        <v>КАЗАХСТАН, АКМОЛИНСКАЯ, ЗЕРЕНДИНСКИЙ РАЙОН, Зерендинский, Зеренда, 23, 6</v>
      </c>
      <c r="S28" t="str">
        <f>"ҚАЗАҚСТАН, АҚМОЛА, ЗЕРЕНДІ АУДАНЫ, Зерендинский, Зеренда, 23, 6"</f>
        <v>ҚАЗАҚСТАН, АҚМОЛА, ЗЕРЕНДІ АУДАНЫ, Зерендинский, Зеренда, 23, 6</v>
      </c>
      <c r="T28" t="str">
        <f>"Зерендинский, Зеренда, 23, 6"</f>
        <v>Зерендинский, Зеренда, 23, 6</v>
      </c>
      <c r="U28" t="str">
        <f>"Зерендинский, Зеренда, 23, 6"</f>
        <v>Зерендинский, Зеренда, 23, 6</v>
      </c>
      <c r="AC28" t="str">
        <f>"2016-09-01T00:00:00"</f>
        <v>2016-09-01T00:00:00</v>
      </c>
      <c r="AD28" t="str">
        <f>"1"</f>
        <v>1</v>
      </c>
      <c r="AE28" t="str">
        <f>"2024-09-01T22:54:20"</f>
        <v>2024-09-01T22:54:20</v>
      </c>
      <c r="AF28" t="str">
        <f>"2025-05-25T22:54:20"</f>
        <v>2025-05-25T22:54:20</v>
      </c>
      <c r="AG28" t="s">
        <v>290</v>
      </c>
      <c r="AH28" t="str">
        <f>"aruzhan@mail.ru"</f>
        <v>aruzhan@mail.ru</v>
      </c>
      <c r="AI28" t="s">
        <v>291</v>
      </c>
      <c r="AK28" t="s">
        <v>332</v>
      </c>
      <c r="AP28" t="s">
        <v>342</v>
      </c>
      <c r="AT28" t="s">
        <v>294</v>
      </c>
      <c r="AU28" t="s">
        <v>295</v>
      </c>
      <c r="AW28" t="s">
        <v>296</v>
      </c>
      <c r="AX28">
        <v>1</v>
      </c>
      <c r="AY28" t="s">
        <v>297</v>
      </c>
      <c r="AZ28" t="s">
        <v>298</v>
      </c>
      <c r="BA28" t="s">
        <v>323</v>
      </c>
      <c r="BF28" t="s">
        <v>294</v>
      </c>
      <c r="BG28" t="s">
        <v>300</v>
      </c>
      <c r="BI28" t="s">
        <v>298</v>
      </c>
      <c r="BR28" t="s">
        <v>289</v>
      </c>
      <c r="BS28" t="s">
        <v>301</v>
      </c>
      <c r="BT28" t="s">
        <v>302</v>
      </c>
      <c r="BU28" t="s">
        <v>303</v>
      </c>
      <c r="BV28" t="s">
        <v>304</v>
      </c>
      <c r="BX28" t="s">
        <v>324</v>
      </c>
      <c r="BY28" t="s">
        <v>298</v>
      </c>
      <c r="BZ28" t="s">
        <v>380</v>
      </c>
      <c r="CA28" t="s">
        <v>381</v>
      </c>
      <c r="CC28" t="s">
        <v>308</v>
      </c>
      <c r="CD28" t="s">
        <v>309</v>
      </c>
      <c r="CE28" t="s">
        <v>294</v>
      </c>
      <c r="CH28" t="s">
        <v>304</v>
      </c>
      <c r="CI28" t="s">
        <v>304</v>
      </c>
      <c r="CK28" t="s">
        <v>327</v>
      </c>
      <c r="CL28" t="s">
        <v>328</v>
      </c>
      <c r="CM28" t="s">
        <v>327</v>
      </c>
      <c r="CN28" t="s">
        <v>328</v>
      </c>
      <c r="CO28" t="s">
        <v>312</v>
      </c>
      <c r="CT28" t="s">
        <v>294</v>
      </c>
      <c r="CU28" t="s">
        <v>336</v>
      </c>
      <c r="CV28" t="s">
        <v>337</v>
      </c>
      <c r="CW28" t="s">
        <v>338</v>
      </c>
      <c r="CX28" t="s">
        <v>316</v>
      </c>
      <c r="CZ28" t="s">
        <v>289</v>
      </c>
      <c r="DA28" t="s">
        <v>289</v>
      </c>
      <c r="DB28" t="s">
        <v>289</v>
      </c>
      <c r="DC28" t="s">
        <v>289</v>
      </c>
      <c r="DI28" t="s">
        <v>289</v>
      </c>
      <c r="DL28" t="s">
        <v>289</v>
      </c>
      <c r="DM28" t="s">
        <v>317</v>
      </c>
      <c r="DS28" t="s">
        <v>289</v>
      </c>
      <c r="DT28" t="s">
        <v>289</v>
      </c>
      <c r="DU28" t="s">
        <v>318</v>
      </c>
      <c r="DV28" t="s">
        <v>289</v>
      </c>
      <c r="DX28" t="s">
        <v>319</v>
      </c>
      <c r="EA28" t="s">
        <v>294</v>
      </c>
    </row>
    <row r="29" spans="1:131" x14ac:dyDescent="0.25">
      <c r="A29">
        <v>156761</v>
      </c>
      <c r="B29">
        <v>140239</v>
      </c>
      <c r="C29" t="str">
        <f>"091128550232"</f>
        <v>091128550232</v>
      </c>
      <c r="D29" t="s">
        <v>451</v>
      </c>
      <c r="E29" t="s">
        <v>452</v>
      </c>
      <c r="F29" t="s">
        <v>453</v>
      </c>
      <c r="G29" s="1">
        <v>40145</v>
      </c>
      <c r="I29" t="s">
        <v>353</v>
      </c>
      <c r="J29" t="s">
        <v>287</v>
      </c>
      <c r="K29" t="s">
        <v>288</v>
      </c>
      <c r="Q29" t="s">
        <v>289</v>
      </c>
      <c r="R29" t="str">
        <f>"КАЗАХСТАН, АКМОЛИНСКАЯ, ЗЕРЕНДИНСКИЙ РАЙОН, ЗЕРЕНДА, 10"</f>
        <v>КАЗАХСТАН, АКМОЛИНСКАЯ, ЗЕРЕНДИНСКИЙ РАЙОН, ЗЕРЕНДА, 10</v>
      </c>
      <c r="S29" t="str">
        <f>"ҚАЗАҚСТАН, АҚМОЛА, ЗЕРЕНДІ АУДАНЫ, ЗЕРЕНДА, 10"</f>
        <v>ҚАЗАҚСТАН, АҚМОЛА, ЗЕРЕНДІ АУДАНЫ, ЗЕРЕНДА, 10</v>
      </c>
      <c r="T29" t="str">
        <f>"ЗЕРЕНДА, 10"</f>
        <v>ЗЕРЕНДА, 10</v>
      </c>
      <c r="U29" t="str">
        <f>"ЗЕРЕНДА, 10"</f>
        <v>ЗЕРЕНДА, 10</v>
      </c>
      <c r="AC29" t="str">
        <f>"2017-08-31T00:00:00"</f>
        <v>2017-08-31T00:00:00</v>
      </c>
      <c r="AD29" t="str">
        <f>"132"</f>
        <v>132</v>
      </c>
      <c r="AE29" t="str">
        <f>"2024-09-01T18:12:47"</f>
        <v>2024-09-01T18:12:47</v>
      </c>
      <c r="AF29" t="str">
        <f>"2025-05-25T18:12:47"</f>
        <v>2025-05-25T18:12:47</v>
      </c>
      <c r="AG29" t="s">
        <v>290</v>
      </c>
      <c r="AH29" t="str">
        <f>"madik@gmail.kz"</f>
        <v>madik@gmail.kz</v>
      </c>
      <c r="AI29" t="s">
        <v>291</v>
      </c>
      <c r="AK29" t="s">
        <v>402</v>
      </c>
      <c r="AP29" t="s">
        <v>293</v>
      </c>
      <c r="AT29" t="s">
        <v>294</v>
      </c>
      <c r="AU29" t="s">
        <v>295</v>
      </c>
      <c r="AW29" t="s">
        <v>296</v>
      </c>
      <c r="AX29">
        <v>1</v>
      </c>
      <c r="AY29" t="s">
        <v>297</v>
      </c>
      <c r="AZ29" t="s">
        <v>298</v>
      </c>
      <c r="BA29" t="s">
        <v>299</v>
      </c>
      <c r="BF29" t="s">
        <v>294</v>
      </c>
      <c r="BG29" t="s">
        <v>300</v>
      </c>
      <c r="BI29" t="s">
        <v>298</v>
      </c>
      <c r="BR29" t="s">
        <v>289</v>
      </c>
      <c r="BS29" t="s">
        <v>301</v>
      </c>
      <c r="BT29" t="s">
        <v>302</v>
      </c>
      <c r="BU29" t="s">
        <v>303</v>
      </c>
      <c r="BV29" t="s">
        <v>304</v>
      </c>
      <c r="BX29" t="s">
        <v>305</v>
      </c>
      <c r="BY29" t="s">
        <v>298</v>
      </c>
      <c r="BZ29" t="s">
        <v>403</v>
      </c>
      <c r="CA29" t="s">
        <v>454</v>
      </c>
      <c r="CC29" t="s">
        <v>308</v>
      </c>
      <c r="CD29" t="s">
        <v>309</v>
      </c>
      <c r="CE29" t="s">
        <v>294</v>
      </c>
      <c r="CH29" t="s">
        <v>304</v>
      </c>
      <c r="CI29" t="s">
        <v>304</v>
      </c>
      <c r="CK29" t="s">
        <v>455</v>
      </c>
      <c r="CL29" t="s">
        <v>328</v>
      </c>
      <c r="CM29" t="s">
        <v>298</v>
      </c>
      <c r="CO29" t="s">
        <v>312</v>
      </c>
      <c r="CT29" t="s">
        <v>294</v>
      </c>
      <c r="CU29" t="s">
        <v>405</v>
      </c>
      <c r="CW29" t="s">
        <v>406</v>
      </c>
      <c r="CX29" t="s">
        <v>316</v>
      </c>
      <c r="CZ29" t="s">
        <v>289</v>
      </c>
      <c r="DA29" t="s">
        <v>289</v>
      </c>
      <c r="DB29" t="s">
        <v>289</v>
      </c>
      <c r="DC29" t="s">
        <v>289</v>
      </c>
      <c r="DI29" t="s">
        <v>289</v>
      </c>
      <c r="DL29" t="s">
        <v>289</v>
      </c>
      <c r="DM29" t="s">
        <v>317</v>
      </c>
      <c r="DS29" t="s">
        <v>289</v>
      </c>
      <c r="DT29" t="s">
        <v>289</v>
      </c>
      <c r="DU29" t="s">
        <v>318</v>
      </c>
      <c r="DV29" t="s">
        <v>289</v>
      </c>
      <c r="DX29" t="s">
        <v>319</v>
      </c>
      <c r="EA29" t="s">
        <v>289</v>
      </c>
    </row>
    <row r="30" spans="1:131" x14ac:dyDescent="0.25">
      <c r="A30">
        <v>156979</v>
      </c>
      <c r="B30">
        <v>147239</v>
      </c>
      <c r="C30" t="str">
        <f>"090725551838"</f>
        <v>090725551838</v>
      </c>
      <c r="D30" t="s">
        <v>456</v>
      </c>
      <c r="E30" t="s">
        <v>457</v>
      </c>
      <c r="G30" s="1">
        <v>40019</v>
      </c>
      <c r="I30" t="s">
        <v>353</v>
      </c>
      <c r="J30" t="s">
        <v>287</v>
      </c>
      <c r="K30" t="s">
        <v>288</v>
      </c>
      <c r="Q30" t="s">
        <v>289</v>
      </c>
      <c r="R30" t="str">
        <f>"КАЗАХСТАН, АКМОЛИНСКАЯ, ЗЕРЕНДИНСКИЙ РАЙОН, Зерендинский, Зеренда, 86, 1"</f>
        <v>КАЗАХСТАН, АКМОЛИНСКАЯ, ЗЕРЕНДИНСКИЙ РАЙОН, Зерендинский, Зеренда, 86, 1</v>
      </c>
      <c r="S30" t="str">
        <f>"ҚАЗАҚСТАН, АҚМОЛА, ЗЕРЕНДІ АУДАНЫ, Зерендинский, Зеренда, 86, 1"</f>
        <v>ҚАЗАҚСТАН, АҚМОЛА, ЗЕРЕНДІ АУДАНЫ, Зерендинский, Зеренда, 86, 1</v>
      </c>
      <c r="T30" t="str">
        <f>"Зерендинский, Зеренда, 86, 1"</f>
        <v>Зерендинский, Зеренда, 86, 1</v>
      </c>
      <c r="U30" t="str">
        <f>"Зерендинский, Зеренда, 86, 1"</f>
        <v>Зерендинский, Зеренда, 86, 1</v>
      </c>
      <c r="AC30" t="str">
        <f>"2015-09-01T00:00:00"</f>
        <v>2015-09-01T00:00:00</v>
      </c>
      <c r="AD30" t="str">
        <f>"1"</f>
        <v>1</v>
      </c>
      <c r="AE30" t="str">
        <f>"2024-09-01T18:13:42"</f>
        <v>2024-09-01T18:13:42</v>
      </c>
      <c r="AF30" t="str">
        <f>"2025-05-25T18:13:42"</f>
        <v>2025-05-25T18:13:42</v>
      </c>
      <c r="AG30" t="s">
        <v>290</v>
      </c>
      <c r="AH30" t="str">
        <f>"nurtasesen@gmail.kz"</f>
        <v>nurtasesen@gmail.kz</v>
      </c>
      <c r="AI30" t="s">
        <v>373</v>
      </c>
      <c r="AK30" t="s">
        <v>402</v>
      </c>
      <c r="AP30" t="s">
        <v>293</v>
      </c>
      <c r="AT30" t="s">
        <v>294</v>
      </c>
      <c r="AU30" t="s">
        <v>295</v>
      </c>
      <c r="AW30" t="s">
        <v>296</v>
      </c>
      <c r="AX30">
        <v>1</v>
      </c>
      <c r="AY30" t="s">
        <v>297</v>
      </c>
      <c r="AZ30" t="s">
        <v>298</v>
      </c>
      <c r="BA30" t="s">
        <v>349</v>
      </c>
      <c r="BF30" t="s">
        <v>294</v>
      </c>
      <c r="BG30" t="s">
        <v>300</v>
      </c>
      <c r="BI30" t="s">
        <v>298</v>
      </c>
      <c r="BR30" t="s">
        <v>289</v>
      </c>
      <c r="BS30" t="s">
        <v>301</v>
      </c>
      <c r="BT30" t="s">
        <v>302</v>
      </c>
      <c r="BU30" t="s">
        <v>303</v>
      </c>
      <c r="BV30" t="s">
        <v>304</v>
      </c>
      <c r="BX30" t="s">
        <v>305</v>
      </c>
      <c r="BY30" t="s">
        <v>298</v>
      </c>
      <c r="BZ30" t="s">
        <v>403</v>
      </c>
      <c r="CA30" t="s">
        <v>454</v>
      </c>
      <c r="CC30" t="s">
        <v>308</v>
      </c>
      <c r="CD30" t="s">
        <v>309</v>
      </c>
      <c r="CE30" t="s">
        <v>294</v>
      </c>
      <c r="CH30" t="s">
        <v>304</v>
      </c>
      <c r="CI30" t="s">
        <v>304</v>
      </c>
      <c r="CK30" t="s">
        <v>455</v>
      </c>
      <c r="CL30" t="s">
        <v>328</v>
      </c>
      <c r="CM30" t="s">
        <v>298</v>
      </c>
      <c r="CO30" t="s">
        <v>312</v>
      </c>
      <c r="CT30" t="s">
        <v>294</v>
      </c>
      <c r="CU30" t="s">
        <v>405</v>
      </c>
      <c r="CW30" t="s">
        <v>406</v>
      </c>
      <c r="CX30" t="s">
        <v>316</v>
      </c>
      <c r="CZ30" t="s">
        <v>289</v>
      </c>
      <c r="DA30" t="s">
        <v>289</v>
      </c>
      <c r="DB30" t="s">
        <v>289</v>
      </c>
      <c r="DC30" t="s">
        <v>289</v>
      </c>
      <c r="DI30" t="s">
        <v>289</v>
      </c>
      <c r="DL30" t="s">
        <v>289</v>
      </c>
      <c r="DM30" t="s">
        <v>317</v>
      </c>
      <c r="DS30" t="s">
        <v>289</v>
      </c>
      <c r="DT30" t="s">
        <v>289</v>
      </c>
      <c r="DU30" t="s">
        <v>318</v>
      </c>
      <c r="DV30" t="s">
        <v>289</v>
      </c>
      <c r="DX30" t="s">
        <v>319</v>
      </c>
      <c r="EA30" t="s">
        <v>289</v>
      </c>
    </row>
    <row r="31" spans="1:131" x14ac:dyDescent="0.25">
      <c r="A31">
        <v>157005</v>
      </c>
      <c r="B31">
        <v>147259</v>
      </c>
      <c r="C31" t="str">
        <f>"120413500805"</f>
        <v>120413500805</v>
      </c>
      <c r="D31" t="s">
        <v>458</v>
      </c>
      <c r="E31" t="s">
        <v>459</v>
      </c>
      <c r="F31" t="s">
        <v>460</v>
      </c>
      <c r="G31" s="1">
        <v>41012</v>
      </c>
      <c r="I31" t="s">
        <v>353</v>
      </c>
      <c r="J31" t="s">
        <v>287</v>
      </c>
      <c r="K31" t="s">
        <v>288</v>
      </c>
      <c r="Q31" t="s">
        <v>289</v>
      </c>
      <c r="R31" t="str">
        <f>"КАЗАХСТАН, АКМОЛИНСКАЯ, ЗЕРЕНДИНСКИЙ РАЙОН, Зерендинский, Зеренда, 11, 2"</f>
        <v>КАЗАХСТАН, АКМОЛИНСКАЯ, ЗЕРЕНДИНСКИЙ РАЙОН, Зерендинский, Зеренда, 11, 2</v>
      </c>
      <c r="S31" t="str">
        <f>"ҚАЗАҚСТАН, АҚМОЛА, ЗЕРЕНДІ АУДАНЫ, Зерендинский, Зеренда, 11, 2"</f>
        <v>ҚАЗАҚСТАН, АҚМОЛА, ЗЕРЕНДІ АУДАНЫ, Зерендинский, Зеренда, 11, 2</v>
      </c>
      <c r="T31" t="str">
        <f>"Зерендинский, Зеренда, 11, 2"</f>
        <v>Зерендинский, Зеренда, 11, 2</v>
      </c>
      <c r="U31" t="str">
        <f>"Зерендинский, Зеренда, 11, 2"</f>
        <v>Зерендинский, Зеренда, 11, 2</v>
      </c>
      <c r="AC31" t="str">
        <f>"2017-08-29T00:00:00"</f>
        <v>2017-08-29T00:00:00</v>
      </c>
      <c r="AD31" t="str">
        <f>"39"</f>
        <v>39</v>
      </c>
      <c r="AE31" t="str">
        <f>"2024-09-01T22:42:59"</f>
        <v>2024-09-01T22:42:59</v>
      </c>
      <c r="AF31" t="str">
        <f>"2025-05-25T22:42:59"</f>
        <v>2025-05-25T22:42:59</v>
      </c>
      <c r="AG31" t="s">
        <v>290</v>
      </c>
      <c r="AI31" t="s">
        <v>373</v>
      </c>
      <c r="AK31" t="s">
        <v>292</v>
      </c>
      <c r="AP31" t="s">
        <v>342</v>
      </c>
      <c r="AT31" t="s">
        <v>294</v>
      </c>
      <c r="AU31" t="s">
        <v>295</v>
      </c>
      <c r="AW31" t="s">
        <v>296</v>
      </c>
      <c r="AX31">
        <v>2</v>
      </c>
      <c r="AY31" t="s">
        <v>297</v>
      </c>
      <c r="AZ31" t="s">
        <v>298</v>
      </c>
      <c r="BA31" t="s">
        <v>323</v>
      </c>
      <c r="BF31" t="s">
        <v>294</v>
      </c>
      <c r="BG31" t="s">
        <v>300</v>
      </c>
      <c r="BI31" t="s">
        <v>298</v>
      </c>
      <c r="BR31" t="s">
        <v>289</v>
      </c>
      <c r="BS31" t="s">
        <v>301</v>
      </c>
      <c r="BT31" t="s">
        <v>302</v>
      </c>
      <c r="BU31" t="s">
        <v>303</v>
      </c>
      <c r="BV31" t="s">
        <v>304</v>
      </c>
      <c r="BX31" t="s">
        <v>392</v>
      </c>
      <c r="BY31" t="s">
        <v>298</v>
      </c>
      <c r="BZ31" t="s">
        <v>306</v>
      </c>
      <c r="CA31" t="s">
        <v>393</v>
      </c>
      <c r="CC31" t="s">
        <v>308</v>
      </c>
      <c r="CD31" t="s">
        <v>309</v>
      </c>
      <c r="CE31" t="s">
        <v>294</v>
      </c>
      <c r="CH31" t="s">
        <v>304</v>
      </c>
      <c r="CI31" t="s">
        <v>304</v>
      </c>
      <c r="CK31" t="s">
        <v>382</v>
      </c>
      <c r="CL31" t="s">
        <v>328</v>
      </c>
      <c r="CM31" t="s">
        <v>461</v>
      </c>
      <c r="CN31" t="s">
        <v>311</v>
      </c>
      <c r="CO31" t="s">
        <v>312</v>
      </c>
      <c r="CT31" t="s">
        <v>294</v>
      </c>
      <c r="CU31" t="s">
        <v>313</v>
      </c>
      <c r="CV31" t="s">
        <v>314</v>
      </c>
      <c r="CW31" t="s">
        <v>315</v>
      </c>
      <c r="CX31" t="s">
        <v>316</v>
      </c>
      <c r="CZ31" t="s">
        <v>289</v>
      </c>
      <c r="DA31" t="s">
        <v>289</v>
      </c>
      <c r="DB31" t="s">
        <v>289</v>
      </c>
      <c r="DC31" t="s">
        <v>289</v>
      </c>
      <c r="DI31" t="s">
        <v>289</v>
      </c>
      <c r="DL31" t="s">
        <v>289</v>
      </c>
      <c r="DM31" t="s">
        <v>317</v>
      </c>
      <c r="DS31" t="s">
        <v>289</v>
      </c>
      <c r="DT31" t="s">
        <v>289</v>
      </c>
      <c r="DU31" t="s">
        <v>318</v>
      </c>
      <c r="DV31" t="s">
        <v>289</v>
      </c>
      <c r="DX31" t="s">
        <v>319</v>
      </c>
      <c r="EA31" t="s">
        <v>289</v>
      </c>
    </row>
    <row r="32" spans="1:131" x14ac:dyDescent="0.25">
      <c r="A32">
        <v>157024</v>
      </c>
      <c r="B32">
        <v>147273</v>
      </c>
      <c r="C32" t="str">
        <f>"120411605277"</f>
        <v>120411605277</v>
      </c>
      <c r="D32" t="s">
        <v>462</v>
      </c>
      <c r="E32" t="s">
        <v>463</v>
      </c>
      <c r="F32" t="s">
        <v>464</v>
      </c>
      <c r="G32" s="1">
        <v>41010</v>
      </c>
      <c r="I32" t="s">
        <v>286</v>
      </c>
      <c r="J32" t="s">
        <v>287</v>
      </c>
      <c r="K32" t="s">
        <v>288</v>
      </c>
      <c r="Q32" t="s">
        <v>289</v>
      </c>
      <c r="R32" t="str">
        <f>"КАЗАХСТАН, АКМОЛИНСКАЯ, ЗЕРЕНДИНСКИЙ РАЙОН, Зерендинский, Зеренда, 5"</f>
        <v>КАЗАХСТАН, АКМОЛИНСКАЯ, ЗЕРЕНДИНСКИЙ РАЙОН, Зерендинский, Зеренда, 5</v>
      </c>
      <c r="S32" t="str">
        <f>"ҚАЗАҚСТАН, АҚМОЛА, ЗЕРЕНДІ АУДАНЫ, Зерендинский, Зеренда, 5"</f>
        <v>ҚАЗАҚСТАН, АҚМОЛА, ЗЕРЕНДІ АУДАНЫ, Зерендинский, Зеренда, 5</v>
      </c>
      <c r="T32" t="str">
        <f>"Зерендинский, Зеренда, 5"</f>
        <v>Зерендинский, Зеренда, 5</v>
      </c>
      <c r="U32" t="str">
        <f>"Зерендинский, Зеренда, 5"</f>
        <v>Зерендинский, Зеренда, 5</v>
      </c>
      <c r="AC32" t="str">
        <f>"2018-08-29T00:00:00"</f>
        <v>2018-08-29T00:00:00</v>
      </c>
      <c r="AD32" t="str">
        <f>"61"</f>
        <v>61</v>
      </c>
      <c r="AE32" t="str">
        <f>"2024-09-01T21:20:56"</f>
        <v>2024-09-01T21:20:56</v>
      </c>
      <c r="AF32" t="str">
        <f>"2025-05-25T21:20:56"</f>
        <v>2025-05-25T21:20:56</v>
      </c>
      <c r="AG32" t="s">
        <v>290</v>
      </c>
      <c r="AI32" t="s">
        <v>291</v>
      </c>
      <c r="AK32" t="s">
        <v>465</v>
      </c>
      <c r="AP32" t="s">
        <v>293</v>
      </c>
      <c r="AT32" t="s">
        <v>294</v>
      </c>
      <c r="AU32" t="s">
        <v>295</v>
      </c>
      <c r="AW32" t="s">
        <v>296</v>
      </c>
      <c r="AX32">
        <v>2</v>
      </c>
      <c r="AY32" t="s">
        <v>297</v>
      </c>
      <c r="AZ32" t="s">
        <v>298</v>
      </c>
      <c r="BA32" t="s">
        <v>349</v>
      </c>
      <c r="BF32" t="s">
        <v>294</v>
      </c>
      <c r="BG32" t="s">
        <v>300</v>
      </c>
      <c r="BI32" t="s">
        <v>298</v>
      </c>
      <c r="BR32" t="s">
        <v>289</v>
      </c>
      <c r="BS32" t="s">
        <v>301</v>
      </c>
      <c r="BT32" t="s">
        <v>302</v>
      </c>
      <c r="BU32" t="s">
        <v>303</v>
      </c>
      <c r="BV32" t="s">
        <v>304</v>
      </c>
      <c r="BX32" t="s">
        <v>305</v>
      </c>
      <c r="BY32" t="s">
        <v>298</v>
      </c>
      <c r="BZ32" t="s">
        <v>306</v>
      </c>
      <c r="CA32" t="s">
        <v>466</v>
      </c>
      <c r="CC32" t="s">
        <v>308</v>
      </c>
      <c r="CD32" t="s">
        <v>309</v>
      </c>
      <c r="CE32" t="s">
        <v>294</v>
      </c>
      <c r="CH32" t="s">
        <v>304</v>
      </c>
      <c r="CI32" t="s">
        <v>304</v>
      </c>
      <c r="CK32" t="s">
        <v>467</v>
      </c>
      <c r="CL32" t="s">
        <v>328</v>
      </c>
      <c r="CM32" t="s">
        <v>298</v>
      </c>
      <c r="CO32" t="s">
        <v>312</v>
      </c>
      <c r="CT32" t="s">
        <v>294</v>
      </c>
      <c r="CU32" t="s">
        <v>313</v>
      </c>
      <c r="CV32" t="s">
        <v>314</v>
      </c>
      <c r="CW32" t="s">
        <v>315</v>
      </c>
      <c r="CX32" t="s">
        <v>316</v>
      </c>
      <c r="CZ32" t="s">
        <v>289</v>
      </c>
      <c r="DA32" t="s">
        <v>289</v>
      </c>
      <c r="DB32" t="s">
        <v>289</v>
      </c>
      <c r="DC32" t="s">
        <v>289</v>
      </c>
      <c r="DI32" t="s">
        <v>289</v>
      </c>
      <c r="DL32" t="s">
        <v>289</v>
      </c>
      <c r="DM32" t="s">
        <v>317</v>
      </c>
      <c r="DS32" t="s">
        <v>289</v>
      </c>
      <c r="DT32" t="s">
        <v>289</v>
      </c>
      <c r="DU32" t="s">
        <v>318</v>
      </c>
      <c r="DV32" t="s">
        <v>289</v>
      </c>
      <c r="DX32" t="s">
        <v>319</v>
      </c>
      <c r="EA32" t="s">
        <v>289</v>
      </c>
    </row>
    <row r="33" spans="1:131" x14ac:dyDescent="0.25">
      <c r="A33">
        <v>157037</v>
      </c>
      <c r="B33">
        <v>147284</v>
      </c>
      <c r="C33" t="str">
        <f>"101110502774"</f>
        <v>101110502774</v>
      </c>
      <c r="D33" t="s">
        <v>468</v>
      </c>
      <c r="E33" t="s">
        <v>469</v>
      </c>
      <c r="F33" t="s">
        <v>470</v>
      </c>
      <c r="G33" s="1">
        <v>40492</v>
      </c>
      <c r="I33" t="s">
        <v>353</v>
      </c>
      <c r="J33" t="s">
        <v>287</v>
      </c>
      <c r="K33" t="s">
        <v>288</v>
      </c>
      <c r="Q33" t="s">
        <v>289</v>
      </c>
      <c r="R33" t="str">
        <f>"КАЗАХСТАН, АКМОЛИНСКАЯ, ЗЕРЕНДИНСКИЙ РАЙОН, Зерендинский, Зеренда, 7, 2"</f>
        <v>КАЗАХСТАН, АКМОЛИНСКАЯ, ЗЕРЕНДИНСКИЙ РАЙОН, Зерендинский, Зеренда, 7, 2</v>
      </c>
      <c r="S33" t="str">
        <f>"ҚАЗАҚСТАН, АҚМОЛА, ЗЕРЕНДІ АУДАНЫ, Зерендинский, Зеренда, 7, 2"</f>
        <v>ҚАЗАҚСТАН, АҚМОЛА, ЗЕРЕНДІ АУДАНЫ, Зерендинский, Зеренда, 7, 2</v>
      </c>
      <c r="T33" t="str">
        <f>"Зерендинский, Зеренда, 7, 2"</f>
        <v>Зерендинский, Зеренда, 7, 2</v>
      </c>
      <c r="U33" t="str">
        <f>"Зерендинский, Зеренда, 7, 2"</f>
        <v>Зерендинский, Зеренда, 7, 2</v>
      </c>
      <c r="AC33" t="str">
        <f>"2016-09-01T00:00:00"</f>
        <v>2016-09-01T00:00:00</v>
      </c>
      <c r="AD33" t="str">
        <f>"1"</f>
        <v>1</v>
      </c>
      <c r="AE33" t="str">
        <f>"2024-09-01T16:49:28"</f>
        <v>2024-09-01T16:49:28</v>
      </c>
      <c r="AF33" t="str">
        <f>"2025-05-25T16:49:28"</f>
        <v>2025-05-25T16:49:28</v>
      </c>
      <c r="AG33" t="s">
        <v>290</v>
      </c>
      <c r="AH33" t="str">
        <f>"Rasul_16@mail.ru"</f>
        <v>Rasul_16@mail.ru</v>
      </c>
      <c r="AI33" t="s">
        <v>373</v>
      </c>
      <c r="AK33" t="s">
        <v>332</v>
      </c>
      <c r="AP33" t="s">
        <v>293</v>
      </c>
      <c r="AT33" t="s">
        <v>294</v>
      </c>
      <c r="AU33" t="s">
        <v>295</v>
      </c>
      <c r="AW33" t="s">
        <v>296</v>
      </c>
      <c r="AX33">
        <v>1</v>
      </c>
      <c r="AY33" t="s">
        <v>297</v>
      </c>
      <c r="AZ33" t="s">
        <v>298</v>
      </c>
      <c r="BA33" t="s">
        <v>349</v>
      </c>
      <c r="BF33" t="s">
        <v>294</v>
      </c>
      <c r="BG33" t="s">
        <v>300</v>
      </c>
      <c r="BI33" t="s">
        <v>298</v>
      </c>
      <c r="BR33" t="s">
        <v>289</v>
      </c>
      <c r="BS33" t="s">
        <v>301</v>
      </c>
      <c r="BT33" t="s">
        <v>302</v>
      </c>
      <c r="BU33" t="s">
        <v>303</v>
      </c>
      <c r="BV33" t="s">
        <v>365</v>
      </c>
      <c r="BX33" t="s">
        <v>305</v>
      </c>
      <c r="BY33" t="s">
        <v>298</v>
      </c>
      <c r="BZ33" t="s">
        <v>333</v>
      </c>
      <c r="CA33" t="s">
        <v>334</v>
      </c>
      <c r="CC33" t="s">
        <v>308</v>
      </c>
      <c r="CD33" t="s">
        <v>309</v>
      </c>
      <c r="CE33" t="s">
        <v>294</v>
      </c>
      <c r="CH33" t="s">
        <v>304</v>
      </c>
      <c r="CI33" t="s">
        <v>304</v>
      </c>
      <c r="CK33" t="s">
        <v>471</v>
      </c>
      <c r="CL33" t="s">
        <v>328</v>
      </c>
      <c r="CM33" t="s">
        <v>298</v>
      </c>
      <c r="CO33" t="s">
        <v>312</v>
      </c>
      <c r="CT33" t="s">
        <v>294</v>
      </c>
      <c r="CU33" t="s">
        <v>313</v>
      </c>
      <c r="CV33" t="s">
        <v>314</v>
      </c>
      <c r="CW33" t="s">
        <v>315</v>
      </c>
      <c r="CX33" t="s">
        <v>316</v>
      </c>
      <c r="CZ33" t="s">
        <v>289</v>
      </c>
      <c r="DA33" t="s">
        <v>289</v>
      </c>
      <c r="DB33" t="s">
        <v>289</v>
      </c>
      <c r="DC33" t="s">
        <v>289</v>
      </c>
      <c r="DI33" t="s">
        <v>289</v>
      </c>
      <c r="DL33" t="s">
        <v>289</v>
      </c>
      <c r="DM33" t="s">
        <v>317</v>
      </c>
      <c r="DS33" t="s">
        <v>289</v>
      </c>
      <c r="DT33" t="s">
        <v>289</v>
      </c>
      <c r="DU33" t="s">
        <v>318</v>
      </c>
      <c r="DV33" t="s">
        <v>289</v>
      </c>
      <c r="DX33" t="s">
        <v>368</v>
      </c>
      <c r="DY33" t="s">
        <v>472</v>
      </c>
      <c r="DZ33" t="s">
        <v>473</v>
      </c>
      <c r="EA33" t="s">
        <v>289</v>
      </c>
    </row>
    <row r="34" spans="1:131" x14ac:dyDescent="0.25">
      <c r="A34">
        <v>157043</v>
      </c>
      <c r="B34">
        <v>147289</v>
      </c>
      <c r="C34" t="str">
        <f>"100915553386"</f>
        <v>100915553386</v>
      </c>
      <c r="D34" t="s">
        <v>474</v>
      </c>
      <c r="E34" t="s">
        <v>416</v>
      </c>
      <c r="F34" t="s">
        <v>475</v>
      </c>
      <c r="G34" s="1">
        <v>40436</v>
      </c>
      <c r="I34" t="s">
        <v>353</v>
      </c>
      <c r="J34" t="s">
        <v>287</v>
      </c>
      <c r="K34" t="s">
        <v>288</v>
      </c>
      <c r="Q34" t="s">
        <v>289</v>
      </c>
      <c r="R34" t="str">
        <f>"КАЗАХСТАН, АКМОЛИНСКАЯ, ЗЕРЕНДИНСКИЙ РАЙОН, Зерендинский, Зеренда, 18, 7"</f>
        <v>КАЗАХСТАН, АКМОЛИНСКАЯ, ЗЕРЕНДИНСКИЙ РАЙОН, Зерендинский, Зеренда, 18, 7</v>
      </c>
      <c r="S34" t="str">
        <f>"ҚАЗАҚСТАН, АҚМОЛА, ЗЕРЕНДІ АУДАНЫ, Зерендинский, Зеренда, 18, 7"</f>
        <v>ҚАЗАҚСТАН, АҚМОЛА, ЗЕРЕНДІ АУДАНЫ, Зерендинский, Зеренда, 18, 7</v>
      </c>
      <c r="T34" t="str">
        <f>"Зерендинский, Зеренда, 18, 7"</f>
        <v>Зерендинский, Зеренда, 18, 7</v>
      </c>
      <c r="U34" t="str">
        <f>"Зерендинский, Зеренда, 18, 7"</f>
        <v>Зерендинский, Зеренда, 18, 7</v>
      </c>
      <c r="AC34" t="str">
        <f>"2016-09-01T00:00:00"</f>
        <v>2016-09-01T00:00:00</v>
      </c>
      <c r="AD34" t="str">
        <f>"1"</f>
        <v>1</v>
      </c>
      <c r="AE34" t="str">
        <f>"2024-09-01T22:54:23"</f>
        <v>2024-09-01T22:54:23</v>
      </c>
      <c r="AF34" t="str">
        <f>"2025-05-25T22:54:23"</f>
        <v>2025-05-25T22:54:23</v>
      </c>
      <c r="AG34" t="s">
        <v>290</v>
      </c>
      <c r="AH34" t="str">
        <f>"gulnur.shaimerden01@mail.ru"</f>
        <v>gulnur.shaimerden01@mail.ru</v>
      </c>
      <c r="AI34" t="s">
        <v>476</v>
      </c>
      <c r="AK34" t="s">
        <v>332</v>
      </c>
      <c r="AP34" t="s">
        <v>293</v>
      </c>
      <c r="AT34" t="s">
        <v>294</v>
      </c>
      <c r="AU34" t="s">
        <v>295</v>
      </c>
      <c r="AW34" t="s">
        <v>296</v>
      </c>
      <c r="AX34">
        <v>1</v>
      </c>
      <c r="AY34" t="s">
        <v>297</v>
      </c>
      <c r="AZ34" t="s">
        <v>298</v>
      </c>
      <c r="BA34" t="s">
        <v>349</v>
      </c>
      <c r="BF34" t="s">
        <v>294</v>
      </c>
      <c r="BG34" t="s">
        <v>300</v>
      </c>
      <c r="BI34" t="s">
        <v>298</v>
      </c>
      <c r="BR34" t="s">
        <v>289</v>
      </c>
      <c r="BS34" t="s">
        <v>301</v>
      </c>
      <c r="BT34" t="s">
        <v>302</v>
      </c>
      <c r="BU34" t="s">
        <v>303</v>
      </c>
      <c r="BV34" t="s">
        <v>304</v>
      </c>
      <c r="BX34" t="s">
        <v>305</v>
      </c>
      <c r="BY34" t="s">
        <v>298</v>
      </c>
      <c r="BZ34" t="s">
        <v>333</v>
      </c>
      <c r="CA34" t="s">
        <v>325</v>
      </c>
      <c r="CC34" t="s">
        <v>308</v>
      </c>
      <c r="CD34" t="s">
        <v>309</v>
      </c>
      <c r="CE34" t="s">
        <v>294</v>
      </c>
      <c r="CH34" t="s">
        <v>304</v>
      </c>
      <c r="CI34" t="s">
        <v>304</v>
      </c>
      <c r="CK34" t="s">
        <v>327</v>
      </c>
      <c r="CL34" t="s">
        <v>328</v>
      </c>
      <c r="CM34" t="s">
        <v>298</v>
      </c>
      <c r="CO34" t="s">
        <v>312</v>
      </c>
      <c r="CT34" t="s">
        <v>294</v>
      </c>
      <c r="CU34" t="s">
        <v>313</v>
      </c>
      <c r="CV34" t="s">
        <v>314</v>
      </c>
      <c r="CW34" t="s">
        <v>315</v>
      </c>
      <c r="CX34" t="s">
        <v>316</v>
      </c>
      <c r="CZ34" t="s">
        <v>289</v>
      </c>
      <c r="DA34" t="s">
        <v>289</v>
      </c>
      <c r="DB34" t="s">
        <v>289</v>
      </c>
      <c r="DC34" t="s">
        <v>289</v>
      </c>
      <c r="DI34" t="s">
        <v>289</v>
      </c>
      <c r="DL34" t="s">
        <v>289</v>
      </c>
      <c r="DM34" t="s">
        <v>317</v>
      </c>
      <c r="DS34" t="s">
        <v>289</v>
      </c>
      <c r="DT34" t="s">
        <v>289</v>
      </c>
      <c r="DU34" t="s">
        <v>318</v>
      </c>
      <c r="DV34" t="s">
        <v>289</v>
      </c>
      <c r="DX34" t="s">
        <v>319</v>
      </c>
      <c r="EA34" t="s">
        <v>294</v>
      </c>
    </row>
    <row r="35" spans="1:131" x14ac:dyDescent="0.25">
      <c r="A35">
        <v>157082</v>
      </c>
      <c r="B35">
        <v>147321</v>
      </c>
      <c r="C35" t="str">
        <f>"111024600759"</f>
        <v>111024600759</v>
      </c>
      <c r="D35" t="s">
        <v>477</v>
      </c>
      <c r="E35" t="s">
        <v>478</v>
      </c>
      <c r="F35" t="s">
        <v>479</v>
      </c>
      <c r="G35" s="1">
        <v>40840</v>
      </c>
      <c r="I35" t="s">
        <v>286</v>
      </c>
      <c r="J35" t="s">
        <v>287</v>
      </c>
      <c r="K35" t="s">
        <v>288</v>
      </c>
      <c r="Q35" t="s">
        <v>289</v>
      </c>
      <c r="R35" t="str">
        <f>"КАЗАХСТАН, АКМОЛИНСКАЯ, ЗЕРЕНДИНСКИЙ РАЙОН, Зерендинский, Зеренда, 95"</f>
        <v>КАЗАХСТАН, АКМОЛИНСКАЯ, ЗЕРЕНДИНСКИЙ РАЙОН, Зерендинский, Зеренда, 95</v>
      </c>
      <c r="S35" t="str">
        <f>"ҚАЗАҚСТАН, АҚМОЛА, ЗЕРЕНДІ АУДАНЫ, Зерендинский, Зеренда, 95"</f>
        <v>ҚАЗАҚСТАН, АҚМОЛА, ЗЕРЕНДІ АУДАНЫ, Зерендинский, Зеренда, 95</v>
      </c>
      <c r="T35" t="str">
        <f>"Зерендинский, Зеренда, 95"</f>
        <v>Зерендинский, Зеренда, 95</v>
      </c>
      <c r="U35" t="str">
        <f>"Зерендинский, Зеренда, 95"</f>
        <v>Зерендинский, Зеренда, 95</v>
      </c>
      <c r="AC35" t="str">
        <f>"2017-08-28T00:00:00"</f>
        <v>2017-08-28T00:00:00</v>
      </c>
      <c r="AD35" t="str">
        <f>"39"</f>
        <v>39</v>
      </c>
      <c r="AE35" t="str">
        <f>"2024-09-01T22:43:13"</f>
        <v>2024-09-01T22:43:13</v>
      </c>
      <c r="AF35" t="str">
        <f>"2025-05-25T22:43:13"</f>
        <v>2025-05-25T22:43:13</v>
      </c>
      <c r="AG35" t="s">
        <v>290</v>
      </c>
      <c r="AI35" t="s">
        <v>291</v>
      </c>
      <c r="AK35" t="s">
        <v>292</v>
      </c>
      <c r="AP35" t="s">
        <v>342</v>
      </c>
      <c r="AT35" t="s">
        <v>294</v>
      </c>
      <c r="AU35" t="s">
        <v>295</v>
      </c>
      <c r="AW35" t="s">
        <v>296</v>
      </c>
      <c r="AX35">
        <v>2</v>
      </c>
      <c r="AY35" t="s">
        <v>297</v>
      </c>
      <c r="AZ35" t="s">
        <v>298</v>
      </c>
      <c r="BA35" t="s">
        <v>323</v>
      </c>
      <c r="BF35" t="s">
        <v>294</v>
      </c>
      <c r="BG35" t="s">
        <v>300</v>
      </c>
      <c r="BI35" t="s">
        <v>298</v>
      </c>
      <c r="BR35" t="s">
        <v>289</v>
      </c>
      <c r="BS35" t="s">
        <v>301</v>
      </c>
      <c r="BT35" t="s">
        <v>302</v>
      </c>
      <c r="BU35" t="s">
        <v>303</v>
      </c>
      <c r="BV35" t="s">
        <v>304</v>
      </c>
      <c r="BX35" t="s">
        <v>324</v>
      </c>
      <c r="BY35" t="s">
        <v>298</v>
      </c>
      <c r="BZ35" t="s">
        <v>306</v>
      </c>
      <c r="CA35" t="s">
        <v>325</v>
      </c>
      <c r="CC35" t="s">
        <v>308</v>
      </c>
      <c r="CD35" t="s">
        <v>309</v>
      </c>
      <c r="CE35" t="s">
        <v>294</v>
      </c>
      <c r="CH35" t="s">
        <v>304</v>
      </c>
      <c r="CI35" t="s">
        <v>304</v>
      </c>
      <c r="CK35" t="s">
        <v>467</v>
      </c>
      <c r="CL35" t="s">
        <v>328</v>
      </c>
      <c r="CM35" t="s">
        <v>298</v>
      </c>
      <c r="CO35" t="s">
        <v>312</v>
      </c>
      <c r="CT35" t="s">
        <v>294</v>
      </c>
      <c r="CU35" t="s">
        <v>313</v>
      </c>
      <c r="CV35" t="s">
        <v>314</v>
      </c>
      <c r="CW35" t="s">
        <v>315</v>
      </c>
      <c r="CX35" t="s">
        <v>316</v>
      </c>
      <c r="CZ35" t="s">
        <v>289</v>
      </c>
      <c r="DA35" t="s">
        <v>289</v>
      </c>
      <c r="DB35" t="s">
        <v>289</v>
      </c>
      <c r="DC35" t="s">
        <v>289</v>
      </c>
      <c r="DI35" t="s">
        <v>289</v>
      </c>
      <c r="DL35" t="s">
        <v>289</v>
      </c>
      <c r="DM35" t="s">
        <v>317</v>
      </c>
      <c r="DS35" t="s">
        <v>289</v>
      </c>
      <c r="DT35" t="s">
        <v>289</v>
      </c>
      <c r="DU35" t="s">
        <v>318</v>
      </c>
      <c r="DV35" t="s">
        <v>289</v>
      </c>
      <c r="DX35" t="s">
        <v>319</v>
      </c>
      <c r="EA35" t="s">
        <v>294</v>
      </c>
    </row>
    <row r="36" spans="1:131" x14ac:dyDescent="0.25">
      <c r="A36">
        <v>157262</v>
      </c>
      <c r="B36">
        <v>147465</v>
      </c>
      <c r="C36" t="str">
        <f>"110107502093"</f>
        <v>110107502093</v>
      </c>
      <c r="D36" t="s">
        <v>480</v>
      </c>
      <c r="E36" t="s">
        <v>481</v>
      </c>
      <c r="F36" t="s">
        <v>482</v>
      </c>
      <c r="G36" s="1">
        <v>40550</v>
      </c>
      <c r="I36" t="s">
        <v>353</v>
      </c>
      <c r="J36" t="s">
        <v>287</v>
      </c>
      <c r="K36" t="s">
        <v>288</v>
      </c>
      <c r="Q36" t="s">
        <v>289</v>
      </c>
      <c r="R36" t="str">
        <f>"КАЗАХСТАН, АКМОЛИНСКАЯ, ЗЕРЕНДИНСКИЙ РАЙОН, Зерендинский, Зеренда, 11"</f>
        <v>КАЗАХСТАН, АКМОЛИНСКАЯ, ЗЕРЕНДИНСКИЙ РАЙОН, Зерендинский, Зеренда, 11</v>
      </c>
      <c r="S36" t="str">
        <f>"ҚАЗАҚСТАН, АҚМОЛА, ЗЕРЕНДІ АУДАНЫ, Зерендинский, Зеренда, 11"</f>
        <v>ҚАЗАҚСТАН, АҚМОЛА, ЗЕРЕНДІ АУДАНЫ, Зерендинский, Зеренда, 11</v>
      </c>
      <c r="T36" t="str">
        <f>"Зерендинский, Зеренда, 11"</f>
        <v>Зерендинский, Зеренда, 11</v>
      </c>
      <c r="U36" t="str">
        <f>"Зерендинский, Зеренда, 11"</f>
        <v>Зерендинский, Зеренда, 11</v>
      </c>
      <c r="AC36" t="str">
        <f>"2017-08-26T00:00:00"</f>
        <v>2017-08-26T00:00:00</v>
      </c>
      <c r="AD36" t="str">
        <f>"38"</f>
        <v>38</v>
      </c>
      <c r="AE36" t="str">
        <f>"2024-09-01T22:43:13"</f>
        <v>2024-09-01T22:43:13</v>
      </c>
      <c r="AF36" t="str">
        <f>"2025-05-25T22:43:13"</f>
        <v>2025-05-25T22:43:13</v>
      </c>
      <c r="AG36" t="s">
        <v>290</v>
      </c>
      <c r="AI36" t="s">
        <v>373</v>
      </c>
      <c r="AK36" t="s">
        <v>292</v>
      </c>
      <c r="AP36" t="s">
        <v>293</v>
      </c>
      <c r="AT36" t="s">
        <v>294</v>
      </c>
      <c r="AU36" t="s">
        <v>295</v>
      </c>
      <c r="AW36" t="s">
        <v>296</v>
      </c>
      <c r="AX36">
        <v>2</v>
      </c>
      <c r="AY36" t="s">
        <v>297</v>
      </c>
      <c r="AZ36" t="s">
        <v>298</v>
      </c>
      <c r="BA36" t="s">
        <v>349</v>
      </c>
      <c r="BF36" t="s">
        <v>294</v>
      </c>
      <c r="BG36" t="s">
        <v>300</v>
      </c>
      <c r="BI36" t="s">
        <v>298</v>
      </c>
      <c r="BR36" t="s">
        <v>289</v>
      </c>
      <c r="BS36" t="s">
        <v>301</v>
      </c>
      <c r="BT36" t="s">
        <v>302</v>
      </c>
      <c r="BU36" t="s">
        <v>303</v>
      </c>
      <c r="BV36" t="s">
        <v>304</v>
      </c>
      <c r="BX36" t="s">
        <v>305</v>
      </c>
      <c r="BY36" t="s">
        <v>298</v>
      </c>
      <c r="BZ36" t="s">
        <v>306</v>
      </c>
      <c r="CA36" t="s">
        <v>307</v>
      </c>
      <c r="CC36" t="s">
        <v>308</v>
      </c>
      <c r="CD36" t="s">
        <v>309</v>
      </c>
      <c r="CE36" t="s">
        <v>294</v>
      </c>
      <c r="CH36" t="s">
        <v>304</v>
      </c>
      <c r="CI36" t="s">
        <v>304</v>
      </c>
      <c r="CK36" t="s">
        <v>335</v>
      </c>
      <c r="CM36" t="s">
        <v>398</v>
      </c>
      <c r="CN36" t="s">
        <v>311</v>
      </c>
      <c r="CO36" t="s">
        <v>312</v>
      </c>
      <c r="CT36" t="s">
        <v>294</v>
      </c>
      <c r="CU36" t="s">
        <v>313</v>
      </c>
      <c r="CV36" t="s">
        <v>314</v>
      </c>
      <c r="CW36" t="s">
        <v>315</v>
      </c>
      <c r="CX36" t="s">
        <v>316</v>
      </c>
      <c r="CZ36" t="s">
        <v>289</v>
      </c>
      <c r="DA36" t="s">
        <v>289</v>
      </c>
      <c r="DB36" t="s">
        <v>289</v>
      </c>
      <c r="DC36" t="s">
        <v>289</v>
      </c>
      <c r="DI36" t="s">
        <v>289</v>
      </c>
      <c r="DL36" t="s">
        <v>289</v>
      </c>
      <c r="DM36" t="s">
        <v>317</v>
      </c>
      <c r="DS36" t="s">
        <v>289</v>
      </c>
      <c r="DT36" t="s">
        <v>289</v>
      </c>
      <c r="DU36" t="s">
        <v>318</v>
      </c>
      <c r="DV36" t="s">
        <v>289</v>
      </c>
      <c r="DX36" t="s">
        <v>319</v>
      </c>
      <c r="EA36" t="s">
        <v>289</v>
      </c>
    </row>
    <row r="37" spans="1:131" x14ac:dyDescent="0.25">
      <c r="A37">
        <v>157282</v>
      </c>
      <c r="B37">
        <v>147478</v>
      </c>
      <c r="C37" t="str">
        <f>"120924602320"</f>
        <v>120924602320</v>
      </c>
      <c r="D37" t="s">
        <v>483</v>
      </c>
      <c r="E37" t="s">
        <v>484</v>
      </c>
      <c r="F37" t="s">
        <v>485</v>
      </c>
      <c r="G37" s="1">
        <v>41176</v>
      </c>
      <c r="I37" t="s">
        <v>286</v>
      </c>
      <c r="J37" t="s">
        <v>287</v>
      </c>
      <c r="K37" t="s">
        <v>288</v>
      </c>
      <c r="Q37" t="s">
        <v>289</v>
      </c>
      <c r="R37" t="str">
        <f>"КАЗАХСТАН, АКМОЛИНСКАЯ, ЗЕРЕНДИНСКИЙ РАЙОН, Зерендинский, Зеренда, 1"</f>
        <v>КАЗАХСТАН, АКМОЛИНСКАЯ, ЗЕРЕНДИНСКИЙ РАЙОН, Зерендинский, Зеренда, 1</v>
      </c>
      <c r="S37" t="str">
        <f>"ҚАЗАҚСТАН, АҚМОЛА, ЗЕРЕНДІ АУДАНЫ, Зерендинский, Зеренда, 1"</f>
        <v>ҚАЗАҚСТАН, АҚМОЛА, ЗЕРЕНДІ АУДАНЫ, Зерендинский, Зеренда, 1</v>
      </c>
      <c r="T37" t="str">
        <f>"Зерендинский, Зеренда, 1"</f>
        <v>Зерендинский, Зеренда, 1</v>
      </c>
      <c r="U37" t="str">
        <f>"Зерендинский, Зеренда, 1"</f>
        <v>Зерендинский, Зеренда, 1</v>
      </c>
      <c r="AC37" t="str">
        <f>"2018-08-29T00:00:00"</f>
        <v>2018-08-29T00:00:00</v>
      </c>
      <c r="AD37" t="str">
        <f>"61"</f>
        <v>61</v>
      </c>
      <c r="AE37" t="str">
        <f>"2024-09-01T21:21:22"</f>
        <v>2024-09-01T21:21:22</v>
      </c>
      <c r="AF37" t="str">
        <f>"2025-05-25T21:21:22"</f>
        <v>2025-05-25T21:21:22</v>
      </c>
      <c r="AG37" t="s">
        <v>290</v>
      </c>
      <c r="AI37" t="s">
        <v>291</v>
      </c>
      <c r="AK37" t="s">
        <v>465</v>
      </c>
      <c r="AP37" t="s">
        <v>342</v>
      </c>
      <c r="AT37" t="s">
        <v>294</v>
      </c>
      <c r="AU37" t="s">
        <v>295</v>
      </c>
      <c r="AW37" t="s">
        <v>296</v>
      </c>
      <c r="AX37">
        <v>2</v>
      </c>
      <c r="AY37" t="s">
        <v>297</v>
      </c>
      <c r="AZ37" t="s">
        <v>298</v>
      </c>
      <c r="BA37" t="s">
        <v>299</v>
      </c>
      <c r="BF37" t="s">
        <v>294</v>
      </c>
      <c r="BG37" t="s">
        <v>300</v>
      </c>
      <c r="BI37" t="s">
        <v>298</v>
      </c>
      <c r="BR37" t="s">
        <v>289</v>
      </c>
      <c r="BS37" t="s">
        <v>301</v>
      </c>
      <c r="BT37" t="s">
        <v>302</v>
      </c>
      <c r="BU37" t="s">
        <v>303</v>
      </c>
      <c r="BV37" t="s">
        <v>304</v>
      </c>
      <c r="BX37" t="s">
        <v>324</v>
      </c>
      <c r="BY37" t="s">
        <v>298</v>
      </c>
      <c r="BZ37" t="s">
        <v>306</v>
      </c>
      <c r="CA37" t="s">
        <v>325</v>
      </c>
      <c r="CC37" t="s">
        <v>308</v>
      </c>
      <c r="CD37" t="s">
        <v>309</v>
      </c>
      <c r="CE37" t="s">
        <v>294</v>
      </c>
      <c r="CH37" t="s">
        <v>304</v>
      </c>
      <c r="CI37" t="s">
        <v>304</v>
      </c>
      <c r="CK37" t="s">
        <v>335</v>
      </c>
      <c r="CM37" t="s">
        <v>486</v>
      </c>
      <c r="CN37" t="s">
        <v>487</v>
      </c>
      <c r="CO37" t="s">
        <v>312</v>
      </c>
      <c r="CT37" t="s">
        <v>294</v>
      </c>
      <c r="CU37" t="s">
        <v>313</v>
      </c>
      <c r="CV37" t="s">
        <v>314</v>
      </c>
      <c r="CW37" t="s">
        <v>315</v>
      </c>
      <c r="CX37" t="s">
        <v>316</v>
      </c>
      <c r="CZ37" t="s">
        <v>289</v>
      </c>
      <c r="DA37" t="s">
        <v>289</v>
      </c>
      <c r="DB37" t="s">
        <v>289</v>
      </c>
      <c r="DC37" t="s">
        <v>289</v>
      </c>
      <c r="DI37" t="s">
        <v>289</v>
      </c>
      <c r="DL37" t="s">
        <v>289</v>
      </c>
      <c r="DM37" t="s">
        <v>317</v>
      </c>
      <c r="DS37" t="s">
        <v>289</v>
      </c>
      <c r="DT37" t="s">
        <v>289</v>
      </c>
      <c r="DU37" t="s">
        <v>318</v>
      </c>
      <c r="DV37" t="s">
        <v>289</v>
      </c>
      <c r="DX37" t="s">
        <v>319</v>
      </c>
      <c r="EA37" t="s">
        <v>289</v>
      </c>
    </row>
    <row r="38" spans="1:131" x14ac:dyDescent="0.25">
      <c r="A38">
        <v>157312</v>
      </c>
      <c r="B38">
        <v>147501</v>
      </c>
      <c r="C38" t="str">
        <f>"130412504656"</f>
        <v>130412504656</v>
      </c>
      <c r="D38" t="s">
        <v>355</v>
      </c>
      <c r="E38" t="s">
        <v>488</v>
      </c>
      <c r="F38" t="s">
        <v>489</v>
      </c>
      <c r="G38" s="1">
        <v>41376</v>
      </c>
      <c r="I38" t="s">
        <v>353</v>
      </c>
      <c r="J38" t="s">
        <v>287</v>
      </c>
      <c r="K38" t="s">
        <v>288</v>
      </c>
      <c r="Q38" t="s">
        <v>289</v>
      </c>
      <c r="R38" t="str">
        <f>"КАЗАХСТАН, АКМОЛИНСКАЯ, ЗЕРЕНДИНСКИЙ РАЙОН, Зерендинский, Зеренда, 2"</f>
        <v>КАЗАХСТАН, АКМОЛИНСКАЯ, ЗЕРЕНДИНСКИЙ РАЙОН, Зерендинский, Зеренда, 2</v>
      </c>
      <c r="S38" t="str">
        <f>"ҚАЗАҚСТАН, АҚМОЛА, ЗЕРЕНДІ АУДАНЫ, Зерендинский, Зеренда, 2"</f>
        <v>ҚАЗАҚСТАН, АҚМОЛА, ЗЕРЕНДІ АУДАНЫ, Зерендинский, Зеренда, 2</v>
      </c>
      <c r="T38" t="str">
        <f>"Зерендинский, Зеренда, 2"</f>
        <v>Зерендинский, Зеренда, 2</v>
      </c>
      <c r="U38" t="str">
        <f>"Зерендинский, Зеренда, 2"</f>
        <v>Зерендинский, Зеренда, 2</v>
      </c>
      <c r="AC38" t="str">
        <f>"2018-08-29T00:00:00"</f>
        <v>2018-08-29T00:00:00</v>
      </c>
      <c r="AD38" t="str">
        <f>"61"</f>
        <v>61</v>
      </c>
      <c r="AE38" t="str">
        <f>"2024-09-01T21:21:46"</f>
        <v>2024-09-01T21:21:46</v>
      </c>
      <c r="AF38" t="str">
        <f>"2025-05-25T21:21:46"</f>
        <v>2025-05-25T21:21:46</v>
      </c>
      <c r="AG38" t="s">
        <v>290</v>
      </c>
      <c r="AI38" t="s">
        <v>373</v>
      </c>
      <c r="AK38" t="s">
        <v>465</v>
      </c>
      <c r="AP38" t="s">
        <v>293</v>
      </c>
      <c r="AT38" t="s">
        <v>294</v>
      </c>
      <c r="AU38" t="s">
        <v>295</v>
      </c>
      <c r="AW38" t="s">
        <v>296</v>
      </c>
      <c r="AX38">
        <v>2</v>
      </c>
      <c r="AY38" t="s">
        <v>297</v>
      </c>
      <c r="AZ38" t="s">
        <v>298</v>
      </c>
      <c r="BA38" t="s">
        <v>490</v>
      </c>
      <c r="BE38" t="str">
        <f>"2020-08-26T15:24:21"</f>
        <v>2020-08-26T15:24:21</v>
      </c>
      <c r="BF38" t="s">
        <v>294</v>
      </c>
      <c r="BG38" t="s">
        <v>300</v>
      </c>
      <c r="BI38" t="s">
        <v>298</v>
      </c>
      <c r="BR38" t="s">
        <v>289</v>
      </c>
      <c r="BS38" t="s">
        <v>301</v>
      </c>
      <c r="BT38" t="s">
        <v>302</v>
      </c>
      <c r="BU38" t="s">
        <v>303</v>
      </c>
      <c r="BV38" t="s">
        <v>304</v>
      </c>
      <c r="BX38" t="s">
        <v>305</v>
      </c>
      <c r="BY38" t="s">
        <v>298</v>
      </c>
      <c r="BZ38" t="s">
        <v>491</v>
      </c>
      <c r="CA38" t="s">
        <v>492</v>
      </c>
      <c r="CC38" t="s">
        <v>308</v>
      </c>
      <c r="CD38" t="s">
        <v>309</v>
      </c>
      <c r="CE38" t="s">
        <v>294</v>
      </c>
      <c r="CH38" t="s">
        <v>304</v>
      </c>
      <c r="CI38" t="s">
        <v>304</v>
      </c>
      <c r="CK38" t="s">
        <v>335</v>
      </c>
      <c r="CM38" t="s">
        <v>493</v>
      </c>
      <c r="CN38" t="s">
        <v>328</v>
      </c>
      <c r="CO38" t="s">
        <v>312</v>
      </c>
      <c r="CT38" t="s">
        <v>294</v>
      </c>
      <c r="CU38" t="s">
        <v>313</v>
      </c>
      <c r="CV38" t="s">
        <v>314</v>
      </c>
      <c r="CW38" t="s">
        <v>315</v>
      </c>
      <c r="CX38" t="s">
        <v>316</v>
      </c>
      <c r="CZ38" t="s">
        <v>289</v>
      </c>
      <c r="DA38" t="s">
        <v>289</v>
      </c>
      <c r="DB38" t="s">
        <v>289</v>
      </c>
      <c r="DC38" t="s">
        <v>289</v>
      </c>
      <c r="DI38" t="s">
        <v>289</v>
      </c>
      <c r="DL38" t="s">
        <v>289</v>
      </c>
      <c r="DM38" t="s">
        <v>317</v>
      </c>
      <c r="DS38" t="s">
        <v>289</v>
      </c>
      <c r="DT38" t="s">
        <v>289</v>
      </c>
      <c r="DU38" t="s">
        <v>318</v>
      </c>
      <c r="DV38" t="s">
        <v>289</v>
      </c>
      <c r="DX38" t="s">
        <v>319</v>
      </c>
      <c r="EA38" t="s">
        <v>289</v>
      </c>
    </row>
    <row r="39" spans="1:131" x14ac:dyDescent="0.25">
      <c r="A39">
        <v>157319</v>
      </c>
      <c r="B39">
        <v>147506</v>
      </c>
      <c r="C39" t="str">
        <f>"130327502539"</f>
        <v>130327502539</v>
      </c>
      <c r="D39" t="s">
        <v>494</v>
      </c>
      <c r="E39" t="s">
        <v>495</v>
      </c>
      <c r="F39" t="s">
        <v>496</v>
      </c>
      <c r="G39" s="1">
        <v>41360</v>
      </c>
      <c r="I39" t="s">
        <v>353</v>
      </c>
      <c r="J39" t="s">
        <v>287</v>
      </c>
      <c r="K39" t="s">
        <v>288</v>
      </c>
      <c r="Q39" t="s">
        <v>289</v>
      </c>
      <c r="R39" t="str">
        <f>"КАЗАХСТАН, АКМОЛИНСКАЯ, ЗЕРЕНДИНСКИЙ РАЙОН, Зерендинский, Зеренда, 13, 7"</f>
        <v>КАЗАХСТАН, АКМОЛИНСКАЯ, ЗЕРЕНДИНСКИЙ РАЙОН, Зерендинский, Зеренда, 13, 7</v>
      </c>
      <c r="S39" t="str">
        <f>"ҚАЗАҚСТАН, АҚМОЛА, ЗЕРЕНДІ АУДАНЫ, Зерендинский, Зеренда, 13, 7"</f>
        <v>ҚАЗАҚСТАН, АҚМОЛА, ЗЕРЕНДІ АУДАНЫ, Зерендинский, Зеренда, 13, 7</v>
      </c>
      <c r="T39" t="str">
        <f>"Зерендинский, Зеренда, 13, 7"</f>
        <v>Зерендинский, Зеренда, 13, 7</v>
      </c>
      <c r="U39" t="str">
        <f>"Зерендинский, Зеренда, 13, 7"</f>
        <v>Зерендинский, Зеренда, 13, 7</v>
      </c>
      <c r="AC39" t="str">
        <f>"2018-08-29T00:00:00"</f>
        <v>2018-08-29T00:00:00</v>
      </c>
      <c r="AD39" t="str">
        <f>"61"</f>
        <v>61</v>
      </c>
      <c r="AE39" t="str">
        <f>"2024-09-01T21:22:07"</f>
        <v>2024-09-01T21:22:07</v>
      </c>
      <c r="AF39" t="str">
        <f>"2025-05-25T21:22:07"</f>
        <v>2025-05-25T21:22:07</v>
      </c>
      <c r="AG39" t="s">
        <v>290</v>
      </c>
      <c r="AI39" t="s">
        <v>373</v>
      </c>
      <c r="AK39" t="s">
        <v>465</v>
      </c>
      <c r="AP39" t="s">
        <v>342</v>
      </c>
      <c r="AT39" t="s">
        <v>294</v>
      </c>
      <c r="AU39" t="s">
        <v>295</v>
      </c>
      <c r="AW39" t="s">
        <v>296</v>
      </c>
      <c r="AX39">
        <v>2</v>
      </c>
      <c r="AY39" t="s">
        <v>297</v>
      </c>
      <c r="AZ39" t="s">
        <v>298</v>
      </c>
      <c r="BA39" t="s">
        <v>349</v>
      </c>
      <c r="BF39" t="s">
        <v>294</v>
      </c>
      <c r="BG39" t="s">
        <v>300</v>
      </c>
      <c r="BI39" t="s">
        <v>298</v>
      </c>
      <c r="BR39" t="s">
        <v>289</v>
      </c>
      <c r="BS39" t="s">
        <v>301</v>
      </c>
      <c r="BT39" t="s">
        <v>302</v>
      </c>
      <c r="BU39" t="s">
        <v>303</v>
      </c>
      <c r="BV39" t="s">
        <v>304</v>
      </c>
      <c r="BX39" t="s">
        <v>324</v>
      </c>
      <c r="BY39" t="s">
        <v>298</v>
      </c>
      <c r="BZ39" t="s">
        <v>306</v>
      </c>
      <c r="CA39" t="s">
        <v>387</v>
      </c>
      <c r="CC39" t="s">
        <v>308</v>
      </c>
      <c r="CD39" t="s">
        <v>309</v>
      </c>
      <c r="CE39" t="s">
        <v>294</v>
      </c>
      <c r="CH39" t="s">
        <v>304</v>
      </c>
      <c r="CI39" t="s">
        <v>304</v>
      </c>
      <c r="CK39" t="s">
        <v>497</v>
      </c>
      <c r="CL39" t="s">
        <v>328</v>
      </c>
      <c r="CM39" t="s">
        <v>388</v>
      </c>
      <c r="CN39" t="s">
        <v>328</v>
      </c>
      <c r="CO39" t="s">
        <v>312</v>
      </c>
      <c r="CT39" t="s">
        <v>294</v>
      </c>
      <c r="CU39" t="s">
        <v>313</v>
      </c>
      <c r="CV39" t="s">
        <v>314</v>
      </c>
      <c r="CW39" t="s">
        <v>315</v>
      </c>
      <c r="CX39" t="s">
        <v>316</v>
      </c>
      <c r="CZ39" t="s">
        <v>289</v>
      </c>
      <c r="DA39" t="s">
        <v>289</v>
      </c>
      <c r="DB39" t="s">
        <v>289</v>
      </c>
      <c r="DC39" t="s">
        <v>289</v>
      </c>
      <c r="DI39" t="s">
        <v>289</v>
      </c>
      <c r="DL39" t="s">
        <v>289</v>
      </c>
      <c r="DM39" t="s">
        <v>498</v>
      </c>
      <c r="DN39" t="s">
        <v>304</v>
      </c>
      <c r="DP39" t="str">
        <f>"1099"</f>
        <v>1099</v>
      </c>
      <c r="DS39" t="s">
        <v>289</v>
      </c>
      <c r="DT39" t="s">
        <v>289</v>
      </c>
      <c r="DU39" t="s">
        <v>318</v>
      </c>
      <c r="DV39" t="s">
        <v>289</v>
      </c>
      <c r="DX39" t="s">
        <v>319</v>
      </c>
      <c r="EA39" t="s">
        <v>289</v>
      </c>
    </row>
    <row r="40" spans="1:131" x14ac:dyDescent="0.25">
      <c r="A40">
        <v>157324</v>
      </c>
      <c r="B40">
        <v>147512</v>
      </c>
      <c r="C40" t="str">
        <f>"130513500296"</f>
        <v>130513500296</v>
      </c>
      <c r="D40" t="s">
        <v>377</v>
      </c>
      <c r="E40" t="s">
        <v>499</v>
      </c>
      <c r="F40" t="s">
        <v>500</v>
      </c>
      <c r="G40" s="1">
        <v>41407</v>
      </c>
      <c r="I40" t="s">
        <v>353</v>
      </c>
      <c r="J40" t="s">
        <v>287</v>
      </c>
      <c r="K40" t="s">
        <v>288</v>
      </c>
      <c r="Q40" t="s">
        <v>289</v>
      </c>
      <c r="R40" t="str">
        <f>"КАЗАХСТАН, АКМОЛИНСКАЯ, ЗЕРЕНДИНСКИЙ РАЙОН, Зерендинский, Зеренда, 21"</f>
        <v>КАЗАХСТАН, АКМОЛИНСКАЯ, ЗЕРЕНДИНСКИЙ РАЙОН, Зерендинский, Зеренда, 21</v>
      </c>
      <c r="S40" t="str">
        <f>"ҚАЗАҚСТАН, АҚМОЛА, ЗЕРЕНДІ АУДАНЫ, Зерендинский, Зеренда, 21"</f>
        <v>ҚАЗАҚСТАН, АҚМОЛА, ЗЕРЕНДІ АУДАНЫ, Зерендинский, Зеренда, 21</v>
      </c>
      <c r="T40" t="str">
        <f>"Зерендинский, Зеренда, 21"</f>
        <v>Зерендинский, Зеренда, 21</v>
      </c>
      <c r="U40" t="str">
        <f>"Зерендинский, Зеренда, 21"</f>
        <v>Зерендинский, Зеренда, 21</v>
      </c>
      <c r="AC40" t="str">
        <f>"2018-08-29T00:00:00"</f>
        <v>2018-08-29T00:00:00</v>
      </c>
      <c r="AD40" t="str">
        <f>"61"</f>
        <v>61</v>
      </c>
      <c r="AE40" t="str">
        <f>"2024-09-01T21:22:29"</f>
        <v>2024-09-01T21:22:29</v>
      </c>
      <c r="AF40" t="str">
        <f>"2025-05-25T21:22:29"</f>
        <v>2025-05-25T21:22:29</v>
      </c>
      <c r="AG40" t="s">
        <v>290</v>
      </c>
      <c r="AI40" t="s">
        <v>373</v>
      </c>
      <c r="AK40" t="s">
        <v>465</v>
      </c>
      <c r="AP40" t="s">
        <v>342</v>
      </c>
      <c r="AT40" t="s">
        <v>294</v>
      </c>
      <c r="AU40" t="s">
        <v>295</v>
      </c>
      <c r="AW40" t="s">
        <v>296</v>
      </c>
      <c r="AX40">
        <v>2</v>
      </c>
      <c r="AY40" t="s">
        <v>297</v>
      </c>
      <c r="AZ40" t="s">
        <v>298</v>
      </c>
      <c r="BA40" t="s">
        <v>299</v>
      </c>
      <c r="BF40" t="s">
        <v>294</v>
      </c>
      <c r="BG40" t="s">
        <v>300</v>
      </c>
      <c r="BI40" t="s">
        <v>298</v>
      </c>
      <c r="BR40" t="s">
        <v>289</v>
      </c>
      <c r="BS40" t="s">
        <v>301</v>
      </c>
      <c r="BT40" t="s">
        <v>302</v>
      </c>
      <c r="BU40" t="s">
        <v>303</v>
      </c>
      <c r="BV40" t="s">
        <v>304</v>
      </c>
      <c r="BX40" t="s">
        <v>324</v>
      </c>
      <c r="BY40" t="s">
        <v>298</v>
      </c>
      <c r="BZ40" t="s">
        <v>306</v>
      </c>
      <c r="CA40" t="s">
        <v>393</v>
      </c>
      <c r="CC40" t="s">
        <v>308</v>
      </c>
      <c r="CD40" t="s">
        <v>309</v>
      </c>
      <c r="CE40" t="s">
        <v>294</v>
      </c>
      <c r="CH40" t="s">
        <v>304</v>
      </c>
      <c r="CI40" t="s">
        <v>304</v>
      </c>
      <c r="CK40" t="s">
        <v>497</v>
      </c>
      <c r="CL40" t="s">
        <v>328</v>
      </c>
      <c r="CM40" t="s">
        <v>298</v>
      </c>
      <c r="CO40" t="s">
        <v>312</v>
      </c>
      <c r="CT40" t="s">
        <v>294</v>
      </c>
      <c r="CU40" t="s">
        <v>313</v>
      </c>
      <c r="CV40" t="s">
        <v>314</v>
      </c>
      <c r="CW40" t="s">
        <v>315</v>
      </c>
      <c r="CX40" t="s">
        <v>316</v>
      </c>
      <c r="CZ40" t="s">
        <v>289</v>
      </c>
      <c r="DA40" t="s">
        <v>289</v>
      </c>
      <c r="DB40" t="s">
        <v>289</v>
      </c>
      <c r="DC40" t="s">
        <v>289</v>
      </c>
      <c r="DI40" t="s">
        <v>289</v>
      </c>
      <c r="DL40" t="s">
        <v>289</v>
      </c>
      <c r="DM40" t="s">
        <v>317</v>
      </c>
      <c r="DS40" t="s">
        <v>289</v>
      </c>
      <c r="DT40" t="s">
        <v>289</v>
      </c>
      <c r="DU40" t="s">
        <v>318</v>
      </c>
      <c r="DV40" t="s">
        <v>289</v>
      </c>
      <c r="DX40" t="s">
        <v>319</v>
      </c>
      <c r="EA40" t="s">
        <v>294</v>
      </c>
    </row>
    <row r="41" spans="1:131" x14ac:dyDescent="0.25">
      <c r="A41">
        <v>157343</v>
      </c>
      <c r="B41">
        <v>147527</v>
      </c>
      <c r="C41" t="str">
        <f>"120903504376"</f>
        <v>120903504376</v>
      </c>
      <c r="D41" t="s">
        <v>501</v>
      </c>
      <c r="E41" t="s">
        <v>502</v>
      </c>
      <c r="F41" t="s">
        <v>503</v>
      </c>
      <c r="G41" s="1">
        <v>41155</v>
      </c>
      <c r="I41" t="s">
        <v>353</v>
      </c>
      <c r="J41" t="s">
        <v>287</v>
      </c>
      <c r="K41" t="s">
        <v>288</v>
      </c>
      <c r="Q41" t="s">
        <v>289</v>
      </c>
      <c r="R41" t="str">
        <f>"КАЗАХСТАН, АКМОЛИНСКАЯ, ЗЕРЕНДИНСКИЙ РАЙОН, Зерендинский, Зеренда, 19, 6"</f>
        <v>КАЗАХСТАН, АКМОЛИНСКАЯ, ЗЕРЕНДИНСКИЙ РАЙОН, Зерендинский, Зеренда, 19, 6</v>
      </c>
      <c r="S41" t="str">
        <f>"ҚАЗАҚСТАН, АҚМОЛА, ЗЕРЕНДІ АУДАНЫ, Зерендинский, Зеренда, 19, 6"</f>
        <v>ҚАЗАҚСТАН, АҚМОЛА, ЗЕРЕНДІ АУДАНЫ, Зерендинский, Зеренда, 19, 6</v>
      </c>
      <c r="T41" t="str">
        <f>"Зерендинский, Зеренда, 19, 6"</f>
        <v>Зерендинский, Зеренда, 19, 6</v>
      </c>
      <c r="U41" t="str">
        <f>"Зерендинский, Зеренда, 19, 6"</f>
        <v>Зерендинский, Зеренда, 19, 6</v>
      </c>
      <c r="AC41" t="str">
        <f>"2018-08-29T00:00:00"</f>
        <v>2018-08-29T00:00:00</v>
      </c>
      <c r="AD41" t="str">
        <f>"61"</f>
        <v>61</v>
      </c>
      <c r="AE41" t="str">
        <f>"2024-09-01T21:23:10"</f>
        <v>2024-09-01T21:23:10</v>
      </c>
      <c r="AF41" t="str">
        <f>"2025-05-25T21:23:10"</f>
        <v>2025-05-25T21:23:10</v>
      </c>
      <c r="AG41" t="s">
        <v>290</v>
      </c>
      <c r="AI41" t="s">
        <v>373</v>
      </c>
      <c r="AK41" t="s">
        <v>465</v>
      </c>
      <c r="AP41" t="s">
        <v>342</v>
      </c>
      <c r="AT41" t="s">
        <v>294</v>
      </c>
      <c r="AU41" t="s">
        <v>295</v>
      </c>
      <c r="AW41" t="s">
        <v>296</v>
      </c>
      <c r="AX41">
        <v>2</v>
      </c>
      <c r="AY41" t="s">
        <v>297</v>
      </c>
      <c r="AZ41" t="s">
        <v>298</v>
      </c>
      <c r="BA41" t="s">
        <v>349</v>
      </c>
      <c r="BF41" t="s">
        <v>294</v>
      </c>
      <c r="BG41" t="s">
        <v>300</v>
      </c>
      <c r="BI41" t="s">
        <v>298</v>
      </c>
      <c r="BR41" t="s">
        <v>289</v>
      </c>
      <c r="BS41" t="s">
        <v>301</v>
      </c>
      <c r="BT41" t="s">
        <v>302</v>
      </c>
      <c r="BU41" t="s">
        <v>303</v>
      </c>
      <c r="BV41" t="s">
        <v>304</v>
      </c>
      <c r="BX41" t="s">
        <v>324</v>
      </c>
      <c r="BY41" t="s">
        <v>298</v>
      </c>
      <c r="BZ41" t="s">
        <v>306</v>
      </c>
      <c r="CA41" t="s">
        <v>387</v>
      </c>
      <c r="CC41" t="s">
        <v>308</v>
      </c>
      <c r="CD41" t="s">
        <v>309</v>
      </c>
      <c r="CE41" t="s">
        <v>294</v>
      </c>
      <c r="CH41" t="s">
        <v>304</v>
      </c>
      <c r="CI41" t="s">
        <v>304</v>
      </c>
      <c r="CK41" t="s">
        <v>335</v>
      </c>
      <c r="CM41" t="s">
        <v>354</v>
      </c>
      <c r="CN41" t="s">
        <v>311</v>
      </c>
      <c r="CO41" t="s">
        <v>312</v>
      </c>
      <c r="CT41" t="s">
        <v>294</v>
      </c>
      <c r="CU41" t="s">
        <v>313</v>
      </c>
      <c r="CV41" t="s">
        <v>314</v>
      </c>
      <c r="CW41" t="s">
        <v>315</v>
      </c>
      <c r="CX41" t="s">
        <v>316</v>
      </c>
      <c r="CZ41" t="s">
        <v>289</v>
      </c>
      <c r="DA41" t="s">
        <v>289</v>
      </c>
      <c r="DB41" t="s">
        <v>289</v>
      </c>
      <c r="DC41" t="s">
        <v>289</v>
      </c>
      <c r="DI41" t="s">
        <v>289</v>
      </c>
      <c r="DL41" t="s">
        <v>289</v>
      </c>
      <c r="DM41" t="s">
        <v>317</v>
      </c>
      <c r="DN41" t="s">
        <v>304</v>
      </c>
      <c r="DS41" t="s">
        <v>289</v>
      </c>
      <c r="DT41" t="s">
        <v>289</v>
      </c>
      <c r="DU41" t="s">
        <v>318</v>
      </c>
      <c r="DV41" t="s">
        <v>289</v>
      </c>
      <c r="DX41" t="s">
        <v>319</v>
      </c>
      <c r="EA41" t="s">
        <v>289</v>
      </c>
    </row>
    <row r="42" spans="1:131" x14ac:dyDescent="0.25">
      <c r="A42">
        <v>157359</v>
      </c>
      <c r="B42">
        <v>147539</v>
      </c>
      <c r="C42" t="str">
        <f>"111114501670"</f>
        <v>111114501670</v>
      </c>
      <c r="D42" t="s">
        <v>504</v>
      </c>
      <c r="E42" t="s">
        <v>505</v>
      </c>
      <c r="F42" t="s">
        <v>506</v>
      </c>
      <c r="G42" s="1">
        <v>40861</v>
      </c>
      <c r="I42" t="s">
        <v>353</v>
      </c>
      <c r="J42" t="s">
        <v>287</v>
      </c>
      <c r="K42" t="s">
        <v>288</v>
      </c>
      <c r="Q42" t="s">
        <v>289</v>
      </c>
      <c r="R42" t="str">
        <f>"КАЗАХСТАН, АКМОЛИНСКАЯ, ЗЕРЕНДИНСКИЙ РАЙОН, ЗЕРЕНДІ, 9"</f>
        <v>КАЗАХСТАН, АКМОЛИНСКАЯ, ЗЕРЕНДИНСКИЙ РАЙОН, ЗЕРЕНДІ, 9</v>
      </c>
      <c r="S42" t="str">
        <f>"ҚАЗАҚСТАН, АҚМОЛА, ЗЕРЕНДІ АУДАНЫ, ЗЕРЕНДІ, 9"</f>
        <v>ҚАЗАҚСТАН, АҚМОЛА, ЗЕРЕНДІ АУДАНЫ, ЗЕРЕНДІ, 9</v>
      </c>
      <c r="T42" t="str">
        <f>"ЗЕРЕНДІ, 9"</f>
        <v>ЗЕРЕНДІ, 9</v>
      </c>
      <c r="U42" t="str">
        <f>"ЗЕРЕНДІ, 9"</f>
        <v>ЗЕРЕНДІ, 9</v>
      </c>
      <c r="AC42" t="str">
        <f>"2017-08-23T00:00:00"</f>
        <v>2017-08-23T00:00:00</v>
      </c>
      <c r="AD42" t="str">
        <f>"33"</f>
        <v>33</v>
      </c>
      <c r="AE42" t="str">
        <f>"2024-09-01T22:43:19"</f>
        <v>2024-09-01T22:43:19</v>
      </c>
      <c r="AF42" t="str">
        <f>"2025-05-25T22:43:19"</f>
        <v>2025-05-25T22:43:19</v>
      </c>
      <c r="AG42" t="s">
        <v>290</v>
      </c>
      <c r="AI42" t="s">
        <v>373</v>
      </c>
      <c r="AK42" t="s">
        <v>292</v>
      </c>
      <c r="AP42" t="s">
        <v>293</v>
      </c>
      <c r="AT42" t="s">
        <v>294</v>
      </c>
      <c r="AU42" t="s">
        <v>295</v>
      </c>
      <c r="AW42" t="s">
        <v>296</v>
      </c>
      <c r="AX42">
        <v>2</v>
      </c>
      <c r="AY42" t="s">
        <v>297</v>
      </c>
      <c r="AZ42" t="s">
        <v>298</v>
      </c>
      <c r="BA42" t="s">
        <v>299</v>
      </c>
      <c r="BF42" t="s">
        <v>294</v>
      </c>
      <c r="BG42" t="s">
        <v>300</v>
      </c>
      <c r="BI42" t="s">
        <v>298</v>
      </c>
      <c r="BR42" t="s">
        <v>289</v>
      </c>
      <c r="BS42" t="s">
        <v>301</v>
      </c>
      <c r="BT42" t="s">
        <v>302</v>
      </c>
      <c r="BU42" t="s">
        <v>303</v>
      </c>
      <c r="BV42" t="s">
        <v>304</v>
      </c>
      <c r="BX42" t="s">
        <v>324</v>
      </c>
      <c r="BY42" t="s">
        <v>298</v>
      </c>
      <c r="BZ42" t="s">
        <v>306</v>
      </c>
      <c r="CA42" t="s">
        <v>387</v>
      </c>
      <c r="CC42" t="s">
        <v>308</v>
      </c>
      <c r="CD42" t="s">
        <v>309</v>
      </c>
      <c r="CE42" t="s">
        <v>294</v>
      </c>
      <c r="CH42" t="s">
        <v>304</v>
      </c>
      <c r="CI42" t="s">
        <v>304</v>
      </c>
      <c r="CK42" t="s">
        <v>335</v>
      </c>
      <c r="CM42" t="s">
        <v>507</v>
      </c>
      <c r="CN42" t="s">
        <v>328</v>
      </c>
      <c r="CO42" t="s">
        <v>312</v>
      </c>
      <c r="CT42" t="s">
        <v>294</v>
      </c>
      <c r="CU42" t="s">
        <v>313</v>
      </c>
      <c r="CV42" t="s">
        <v>314</v>
      </c>
      <c r="CW42" t="s">
        <v>315</v>
      </c>
      <c r="CX42" t="s">
        <v>316</v>
      </c>
      <c r="CZ42" t="s">
        <v>289</v>
      </c>
      <c r="DA42" t="s">
        <v>289</v>
      </c>
      <c r="DB42" t="s">
        <v>289</v>
      </c>
      <c r="DC42" t="s">
        <v>289</v>
      </c>
      <c r="DI42" t="s">
        <v>289</v>
      </c>
      <c r="DL42" t="s">
        <v>289</v>
      </c>
      <c r="DM42" t="s">
        <v>317</v>
      </c>
      <c r="DS42" t="s">
        <v>289</v>
      </c>
      <c r="DT42" t="s">
        <v>289</v>
      </c>
      <c r="DU42" t="s">
        <v>318</v>
      </c>
      <c r="DV42" t="s">
        <v>289</v>
      </c>
      <c r="DX42" t="s">
        <v>319</v>
      </c>
      <c r="EA42" t="s">
        <v>289</v>
      </c>
    </row>
    <row r="43" spans="1:131" x14ac:dyDescent="0.25">
      <c r="A43">
        <v>157385</v>
      </c>
      <c r="B43">
        <v>147562</v>
      </c>
      <c r="C43" t="str">
        <f>"130107600631"</f>
        <v>130107600631</v>
      </c>
      <c r="D43" t="s">
        <v>508</v>
      </c>
      <c r="E43" t="s">
        <v>509</v>
      </c>
      <c r="F43" t="s">
        <v>510</v>
      </c>
      <c r="G43" s="1">
        <v>41281</v>
      </c>
      <c r="I43" t="s">
        <v>286</v>
      </c>
      <c r="J43" t="s">
        <v>287</v>
      </c>
      <c r="K43" t="s">
        <v>288</v>
      </c>
      <c r="Q43" t="s">
        <v>289</v>
      </c>
      <c r="R43" t="str">
        <f>"КАЗАХСТАН, АКМОЛИНСКАЯ, ЗЕРЕНДИНСКИЙ РАЙОН, ЗЕРЕНДА, 15, 7"</f>
        <v>КАЗАХСТАН, АКМОЛИНСКАЯ, ЗЕРЕНДИНСКИЙ РАЙОН, ЗЕРЕНДА, 15, 7</v>
      </c>
      <c r="S43" t="str">
        <f>"ҚАЗАҚСТАН, АҚМОЛА, ЗЕРЕНДІ АУДАНЫ, ЗЕРЕНДА, 15, 7"</f>
        <v>ҚАЗАҚСТАН, АҚМОЛА, ЗЕРЕНДІ АУДАНЫ, ЗЕРЕНДА, 15, 7</v>
      </c>
      <c r="T43" t="str">
        <f>"ЗЕРЕНДА, 15, 7"</f>
        <v>ЗЕРЕНДА, 15, 7</v>
      </c>
      <c r="U43" t="str">
        <f>"ЗЕРЕНДА, 15, 7"</f>
        <v>ЗЕРЕНДА, 15, 7</v>
      </c>
      <c r="AC43" t="str">
        <f>"2018-08-29T00:00:00"</f>
        <v>2018-08-29T00:00:00</v>
      </c>
      <c r="AD43" t="str">
        <f>"61"</f>
        <v>61</v>
      </c>
      <c r="AE43" t="str">
        <f>"2024-09-01T21:23:38"</f>
        <v>2024-09-01T21:23:38</v>
      </c>
      <c r="AF43" t="str">
        <f>"2025-05-25T21:23:38"</f>
        <v>2025-05-25T21:23:38</v>
      </c>
      <c r="AG43" t="s">
        <v>290</v>
      </c>
      <c r="AI43" t="s">
        <v>373</v>
      </c>
      <c r="AK43" t="s">
        <v>465</v>
      </c>
      <c r="AP43" t="s">
        <v>293</v>
      </c>
      <c r="AT43" t="s">
        <v>294</v>
      </c>
      <c r="AU43" t="s">
        <v>295</v>
      </c>
      <c r="AW43" t="s">
        <v>296</v>
      </c>
      <c r="AX43">
        <v>2</v>
      </c>
      <c r="AY43" t="s">
        <v>297</v>
      </c>
      <c r="AZ43" t="s">
        <v>298</v>
      </c>
      <c r="BA43" t="s">
        <v>490</v>
      </c>
      <c r="BF43" t="s">
        <v>294</v>
      </c>
      <c r="BG43" t="s">
        <v>300</v>
      </c>
      <c r="BI43" t="s">
        <v>298</v>
      </c>
      <c r="BR43" t="s">
        <v>289</v>
      </c>
      <c r="BS43" t="s">
        <v>301</v>
      </c>
      <c r="BT43" t="s">
        <v>302</v>
      </c>
      <c r="BU43" t="s">
        <v>303</v>
      </c>
      <c r="BV43" t="s">
        <v>304</v>
      </c>
      <c r="BX43" t="s">
        <v>324</v>
      </c>
      <c r="BY43" t="s">
        <v>298</v>
      </c>
      <c r="BZ43" t="s">
        <v>491</v>
      </c>
      <c r="CA43" t="s">
        <v>511</v>
      </c>
      <c r="CC43" t="s">
        <v>308</v>
      </c>
      <c r="CD43" t="s">
        <v>309</v>
      </c>
      <c r="CE43" t="s">
        <v>294</v>
      </c>
      <c r="CH43" t="s">
        <v>304</v>
      </c>
      <c r="CI43" t="s">
        <v>304</v>
      </c>
      <c r="CK43" t="s">
        <v>471</v>
      </c>
      <c r="CL43" t="s">
        <v>328</v>
      </c>
      <c r="CM43" t="s">
        <v>298</v>
      </c>
      <c r="CO43" t="s">
        <v>312</v>
      </c>
      <c r="CT43" t="s">
        <v>294</v>
      </c>
      <c r="CU43" t="s">
        <v>313</v>
      </c>
      <c r="CV43" t="s">
        <v>314</v>
      </c>
      <c r="CW43" t="s">
        <v>315</v>
      </c>
      <c r="CX43" t="s">
        <v>316</v>
      </c>
      <c r="CZ43" t="s">
        <v>289</v>
      </c>
      <c r="DA43" t="s">
        <v>289</v>
      </c>
      <c r="DB43" t="s">
        <v>289</v>
      </c>
      <c r="DC43" t="s">
        <v>289</v>
      </c>
      <c r="DI43" t="s">
        <v>289</v>
      </c>
      <c r="DL43" t="s">
        <v>289</v>
      </c>
      <c r="DM43" t="s">
        <v>317</v>
      </c>
      <c r="DS43" t="s">
        <v>289</v>
      </c>
      <c r="DT43" t="s">
        <v>289</v>
      </c>
      <c r="DU43" t="s">
        <v>318</v>
      </c>
      <c r="DV43" t="s">
        <v>289</v>
      </c>
      <c r="DX43" t="s">
        <v>319</v>
      </c>
      <c r="EA43" t="s">
        <v>289</v>
      </c>
    </row>
    <row r="44" spans="1:131" x14ac:dyDescent="0.25">
      <c r="A44">
        <v>157390</v>
      </c>
      <c r="B44">
        <v>147567</v>
      </c>
      <c r="C44" t="str">
        <f>"121022500882"</f>
        <v>121022500882</v>
      </c>
      <c r="D44" t="s">
        <v>512</v>
      </c>
      <c r="E44" t="s">
        <v>513</v>
      </c>
      <c r="F44" t="s">
        <v>514</v>
      </c>
      <c r="G44" s="1">
        <v>41204</v>
      </c>
      <c r="I44" t="s">
        <v>353</v>
      </c>
      <c r="J44" t="s">
        <v>287</v>
      </c>
      <c r="K44" t="s">
        <v>288</v>
      </c>
      <c r="Q44" t="s">
        <v>289</v>
      </c>
      <c r="R44" t="str">
        <f>"КАЗАХСТАН, АКМОЛИНСКАЯ, ЗЕРЕНДИНСКИЙ РАЙОН, Зерендинский, Зеренда, 36, 7"</f>
        <v>КАЗАХСТАН, АКМОЛИНСКАЯ, ЗЕРЕНДИНСКИЙ РАЙОН, Зерендинский, Зеренда, 36, 7</v>
      </c>
      <c r="S44" t="str">
        <f>"ҚАЗАҚСТАН, АҚМОЛА, ЗЕРЕНДІ АУДАНЫ, Зерендинский, Зеренда, 36, 7"</f>
        <v>ҚАЗАҚСТАН, АҚМОЛА, ЗЕРЕНДІ АУДАНЫ, Зерендинский, Зеренда, 36, 7</v>
      </c>
      <c r="T44" t="str">
        <f>"Зерендинский, Зеренда, 36, 7"</f>
        <v>Зерендинский, Зеренда, 36, 7</v>
      </c>
      <c r="U44" t="str">
        <f>"Зерендинский, Зеренда, 36, 7"</f>
        <v>Зерендинский, Зеренда, 36, 7</v>
      </c>
      <c r="AC44" t="str">
        <f>"2018-08-29T00:00:00"</f>
        <v>2018-08-29T00:00:00</v>
      </c>
      <c r="AD44" t="str">
        <f>"61"</f>
        <v>61</v>
      </c>
      <c r="AE44" t="str">
        <f>"2024-09-01T21:24:14"</f>
        <v>2024-09-01T21:24:14</v>
      </c>
      <c r="AF44" t="str">
        <f>"2025-05-25T21:24:14"</f>
        <v>2025-05-25T21:24:14</v>
      </c>
      <c r="AG44" t="s">
        <v>290</v>
      </c>
      <c r="AI44" t="s">
        <v>373</v>
      </c>
      <c r="AK44" t="s">
        <v>465</v>
      </c>
      <c r="AP44" t="s">
        <v>293</v>
      </c>
      <c r="AT44" t="s">
        <v>294</v>
      </c>
      <c r="AU44" t="s">
        <v>295</v>
      </c>
      <c r="AW44" t="s">
        <v>296</v>
      </c>
      <c r="AX44">
        <v>2</v>
      </c>
      <c r="AY44" t="s">
        <v>297</v>
      </c>
      <c r="AZ44" t="s">
        <v>298</v>
      </c>
      <c r="BA44" t="s">
        <v>349</v>
      </c>
      <c r="BF44" t="s">
        <v>294</v>
      </c>
      <c r="BG44" t="s">
        <v>300</v>
      </c>
      <c r="BI44" t="s">
        <v>298</v>
      </c>
      <c r="BR44" t="s">
        <v>289</v>
      </c>
      <c r="BS44" t="s">
        <v>301</v>
      </c>
      <c r="BT44" t="s">
        <v>302</v>
      </c>
      <c r="BU44" t="s">
        <v>303</v>
      </c>
      <c r="BV44" t="s">
        <v>304</v>
      </c>
      <c r="BX44" t="s">
        <v>305</v>
      </c>
      <c r="BY44" t="s">
        <v>298</v>
      </c>
      <c r="BZ44" t="s">
        <v>491</v>
      </c>
      <c r="CA44" t="s">
        <v>492</v>
      </c>
      <c r="CC44" t="s">
        <v>308</v>
      </c>
      <c r="CD44" t="s">
        <v>309</v>
      </c>
      <c r="CE44" t="s">
        <v>294</v>
      </c>
      <c r="CH44" t="s">
        <v>304</v>
      </c>
      <c r="CI44" t="s">
        <v>304</v>
      </c>
      <c r="CK44" t="s">
        <v>335</v>
      </c>
      <c r="CM44" t="s">
        <v>515</v>
      </c>
      <c r="CN44" t="s">
        <v>516</v>
      </c>
      <c r="CO44" t="s">
        <v>312</v>
      </c>
      <c r="CT44" t="s">
        <v>294</v>
      </c>
      <c r="CU44" t="s">
        <v>313</v>
      </c>
      <c r="CV44" t="s">
        <v>314</v>
      </c>
      <c r="CW44" t="s">
        <v>315</v>
      </c>
      <c r="CX44" t="s">
        <v>316</v>
      </c>
      <c r="CZ44" t="s">
        <v>289</v>
      </c>
      <c r="DA44" t="s">
        <v>289</v>
      </c>
      <c r="DB44" t="s">
        <v>289</v>
      </c>
      <c r="DC44" t="s">
        <v>289</v>
      </c>
      <c r="DI44" t="s">
        <v>289</v>
      </c>
      <c r="DL44" t="s">
        <v>289</v>
      </c>
      <c r="DM44" t="s">
        <v>317</v>
      </c>
      <c r="DS44" t="s">
        <v>289</v>
      </c>
      <c r="DT44" t="s">
        <v>289</v>
      </c>
      <c r="DU44" t="s">
        <v>318</v>
      </c>
      <c r="DV44" t="s">
        <v>289</v>
      </c>
      <c r="DX44" t="s">
        <v>319</v>
      </c>
      <c r="EA44" t="s">
        <v>289</v>
      </c>
    </row>
    <row r="45" spans="1:131" x14ac:dyDescent="0.25">
      <c r="A45">
        <v>157408</v>
      </c>
      <c r="B45">
        <v>147580</v>
      </c>
      <c r="C45" t="str">
        <f>"090723552439"</f>
        <v>090723552439</v>
      </c>
      <c r="D45" t="s">
        <v>517</v>
      </c>
      <c r="E45" t="s">
        <v>518</v>
      </c>
      <c r="F45" t="s">
        <v>519</v>
      </c>
      <c r="G45" s="1">
        <v>40017</v>
      </c>
      <c r="I45" t="s">
        <v>353</v>
      </c>
      <c r="J45" t="s">
        <v>287</v>
      </c>
      <c r="K45" t="s">
        <v>288</v>
      </c>
      <c r="Q45" t="s">
        <v>289</v>
      </c>
      <c r="R45" t="str">
        <f>"КАЗАХСТАН, АКМОЛИНСКАЯ, ЗЕРЕНДИНСКИЙ РАЙОН, Зерендинский, Зеренда, 7"</f>
        <v>КАЗАХСТАН, АКМОЛИНСКАЯ, ЗЕРЕНДИНСКИЙ РАЙОН, Зерендинский, Зеренда, 7</v>
      </c>
      <c r="S45" t="str">
        <f>"ҚАЗАҚСТАН, АҚМОЛА, ЗЕРЕНДІ АУДАНЫ, Зерендинский, Зеренда, 7"</f>
        <v>ҚАЗАҚСТАН, АҚМОЛА, ЗЕРЕНДІ АУДАНЫ, Зерендинский, Зеренда, 7</v>
      </c>
      <c r="T45" t="str">
        <f>"Зерендинский, Зеренда, 7"</f>
        <v>Зерендинский, Зеренда, 7</v>
      </c>
      <c r="U45" t="str">
        <f>"Зерендинский, Зеренда, 7"</f>
        <v>Зерендинский, Зеренда, 7</v>
      </c>
      <c r="AC45" t="str">
        <f>"2015-09-01T00:00:00"</f>
        <v>2015-09-01T00:00:00</v>
      </c>
      <c r="AD45" t="str">
        <f>"1"</f>
        <v>1</v>
      </c>
      <c r="AE45" t="str">
        <f>"2024-09-01T18:15:14"</f>
        <v>2024-09-01T18:15:14</v>
      </c>
      <c r="AF45" t="str">
        <f>"2025-05-25T18:15:14"</f>
        <v>2025-05-25T18:15:14</v>
      </c>
      <c r="AG45" t="s">
        <v>290</v>
      </c>
      <c r="AH45" t="str">
        <f>"altynbek@mail.ru"</f>
        <v>altynbek@mail.ru</v>
      </c>
      <c r="AI45" t="s">
        <v>476</v>
      </c>
      <c r="AK45" t="s">
        <v>402</v>
      </c>
      <c r="AP45" t="s">
        <v>293</v>
      </c>
      <c r="AT45" t="s">
        <v>294</v>
      </c>
      <c r="AU45" t="s">
        <v>295</v>
      </c>
      <c r="AW45" t="s">
        <v>296</v>
      </c>
      <c r="AX45">
        <v>1</v>
      </c>
      <c r="AY45" t="s">
        <v>297</v>
      </c>
      <c r="AZ45" t="s">
        <v>298</v>
      </c>
      <c r="BA45" t="s">
        <v>349</v>
      </c>
      <c r="BF45" t="s">
        <v>294</v>
      </c>
      <c r="BG45" t="s">
        <v>300</v>
      </c>
      <c r="BI45" t="s">
        <v>298</v>
      </c>
      <c r="BR45" t="s">
        <v>289</v>
      </c>
      <c r="BS45" t="s">
        <v>301</v>
      </c>
      <c r="BT45" t="s">
        <v>302</v>
      </c>
      <c r="BU45" t="s">
        <v>303</v>
      </c>
      <c r="BV45" t="s">
        <v>304</v>
      </c>
      <c r="BX45" t="s">
        <v>324</v>
      </c>
      <c r="BY45" t="s">
        <v>298</v>
      </c>
      <c r="BZ45" t="s">
        <v>403</v>
      </c>
      <c r="CA45" t="s">
        <v>410</v>
      </c>
      <c r="CC45" t="s">
        <v>308</v>
      </c>
      <c r="CD45" t="s">
        <v>309</v>
      </c>
      <c r="CE45" t="s">
        <v>294</v>
      </c>
      <c r="CH45" t="s">
        <v>304</v>
      </c>
      <c r="CI45" t="s">
        <v>304</v>
      </c>
      <c r="CK45" t="s">
        <v>414</v>
      </c>
      <c r="CL45" t="s">
        <v>311</v>
      </c>
      <c r="CM45" t="s">
        <v>298</v>
      </c>
      <c r="CO45" t="s">
        <v>312</v>
      </c>
      <c r="CT45" t="s">
        <v>294</v>
      </c>
      <c r="CU45" t="s">
        <v>405</v>
      </c>
      <c r="CW45" t="s">
        <v>406</v>
      </c>
      <c r="CX45" t="s">
        <v>316</v>
      </c>
      <c r="CZ45" t="s">
        <v>289</v>
      </c>
      <c r="DA45" t="s">
        <v>289</v>
      </c>
      <c r="DB45" t="s">
        <v>289</v>
      </c>
      <c r="DC45" t="s">
        <v>289</v>
      </c>
      <c r="DI45" t="s">
        <v>289</v>
      </c>
      <c r="DL45" t="s">
        <v>289</v>
      </c>
      <c r="DM45" t="s">
        <v>317</v>
      </c>
      <c r="DS45" t="s">
        <v>289</v>
      </c>
      <c r="DT45" t="s">
        <v>289</v>
      </c>
      <c r="DU45" t="s">
        <v>318</v>
      </c>
      <c r="DV45" t="s">
        <v>289</v>
      </c>
      <c r="DX45" t="s">
        <v>319</v>
      </c>
      <c r="EA45" t="s">
        <v>289</v>
      </c>
    </row>
    <row r="46" spans="1:131" x14ac:dyDescent="0.25">
      <c r="A46">
        <v>157416</v>
      </c>
      <c r="B46">
        <v>147586</v>
      </c>
      <c r="C46" t="str">
        <f>"130213501273"</f>
        <v>130213501273</v>
      </c>
      <c r="D46" t="s">
        <v>520</v>
      </c>
      <c r="E46" t="s">
        <v>521</v>
      </c>
      <c r="F46" t="s">
        <v>522</v>
      </c>
      <c r="G46" s="1">
        <v>41318</v>
      </c>
      <c r="I46" t="s">
        <v>353</v>
      </c>
      <c r="J46" t="s">
        <v>287</v>
      </c>
      <c r="K46" t="s">
        <v>288</v>
      </c>
      <c r="Q46" t="s">
        <v>289</v>
      </c>
      <c r="R46" t="str">
        <f>"КАЗАХСТАН, АКМОЛИНСКАЯ, ЗЕРЕНДИНСКИЙ РАЙОН, Зерендинский, Зеренда, 76, 20"</f>
        <v>КАЗАХСТАН, АКМОЛИНСКАЯ, ЗЕРЕНДИНСКИЙ РАЙОН, Зерендинский, Зеренда, 76, 20</v>
      </c>
      <c r="S46" t="str">
        <f>"ҚАЗАҚСТАН, АҚМОЛА, ЗЕРЕНДІ АУДАНЫ, Зерендинский, Зеренда, 76, 20"</f>
        <v>ҚАЗАҚСТАН, АҚМОЛА, ЗЕРЕНДІ АУДАНЫ, Зерендинский, Зеренда, 76, 20</v>
      </c>
      <c r="T46" t="str">
        <f>"Зерендинский, Зеренда, 76, 20"</f>
        <v>Зерендинский, Зеренда, 76, 20</v>
      </c>
      <c r="U46" t="str">
        <f>"Зерендинский, Зеренда, 76, 20"</f>
        <v>Зерендинский, Зеренда, 76, 20</v>
      </c>
      <c r="AC46" t="str">
        <f>"2018-08-29T00:00:00"</f>
        <v>2018-08-29T00:00:00</v>
      </c>
      <c r="AD46" t="str">
        <f>"61"</f>
        <v>61</v>
      </c>
      <c r="AE46" t="str">
        <f>"2024-09-01T21:24:36"</f>
        <v>2024-09-01T21:24:36</v>
      </c>
      <c r="AF46" t="str">
        <f>"2025-05-25T21:24:36"</f>
        <v>2025-05-25T21:24:36</v>
      </c>
      <c r="AG46" t="s">
        <v>290</v>
      </c>
      <c r="AI46" t="s">
        <v>291</v>
      </c>
      <c r="AK46" t="s">
        <v>465</v>
      </c>
      <c r="AP46" t="s">
        <v>342</v>
      </c>
      <c r="AT46" t="s">
        <v>294</v>
      </c>
      <c r="AU46" t="s">
        <v>295</v>
      </c>
      <c r="AW46" t="s">
        <v>296</v>
      </c>
      <c r="AX46">
        <v>2</v>
      </c>
      <c r="AY46" t="s">
        <v>297</v>
      </c>
      <c r="AZ46" t="s">
        <v>298</v>
      </c>
      <c r="BA46" t="s">
        <v>299</v>
      </c>
      <c r="BF46" t="s">
        <v>294</v>
      </c>
      <c r="BG46" t="s">
        <v>300</v>
      </c>
      <c r="BI46" t="s">
        <v>298</v>
      </c>
      <c r="BR46" t="s">
        <v>289</v>
      </c>
      <c r="BS46" t="s">
        <v>301</v>
      </c>
      <c r="BT46" t="s">
        <v>302</v>
      </c>
      <c r="BU46" t="s">
        <v>303</v>
      </c>
      <c r="BV46" t="s">
        <v>304</v>
      </c>
      <c r="BX46" t="s">
        <v>324</v>
      </c>
      <c r="BY46" t="s">
        <v>298</v>
      </c>
      <c r="BZ46" t="s">
        <v>306</v>
      </c>
      <c r="CA46" t="s">
        <v>387</v>
      </c>
      <c r="CC46" t="s">
        <v>308</v>
      </c>
      <c r="CD46" t="s">
        <v>309</v>
      </c>
      <c r="CE46" t="s">
        <v>294</v>
      </c>
      <c r="CH46" t="s">
        <v>304</v>
      </c>
      <c r="CI46" t="s">
        <v>304</v>
      </c>
      <c r="CK46" t="s">
        <v>335</v>
      </c>
      <c r="CM46" t="s">
        <v>507</v>
      </c>
      <c r="CN46" t="s">
        <v>328</v>
      </c>
      <c r="CO46" t="s">
        <v>312</v>
      </c>
      <c r="CT46" t="s">
        <v>294</v>
      </c>
      <c r="CU46" t="s">
        <v>313</v>
      </c>
      <c r="CV46" t="s">
        <v>314</v>
      </c>
      <c r="CW46" t="s">
        <v>315</v>
      </c>
      <c r="CX46" t="s">
        <v>316</v>
      </c>
      <c r="CZ46" t="s">
        <v>289</v>
      </c>
      <c r="DA46" t="s">
        <v>289</v>
      </c>
      <c r="DB46" t="s">
        <v>289</v>
      </c>
      <c r="DC46" t="s">
        <v>289</v>
      </c>
      <c r="DI46" t="s">
        <v>289</v>
      </c>
      <c r="DL46" t="s">
        <v>289</v>
      </c>
      <c r="DM46" t="s">
        <v>317</v>
      </c>
      <c r="DS46" t="s">
        <v>289</v>
      </c>
      <c r="DT46" t="s">
        <v>289</v>
      </c>
      <c r="DU46" t="s">
        <v>318</v>
      </c>
      <c r="DV46" t="s">
        <v>289</v>
      </c>
      <c r="DX46" t="s">
        <v>319</v>
      </c>
      <c r="EA46" t="s">
        <v>289</v>
      </c>
    </row>
    <row r="47" spans="1:131" x14ac:dyDescent="0.25">
      <c r="A47">
        <v>157434</v>
      </c>
      <c r="B47">
        <v>147600</v>
      </c>
      <c r="C47" t="str">
        <f>"090301550379"</f>
        <v>090301550379</v>
      </c>
      <c r="D47" t="s">
        <v>523</v>
      </c>
      <c r="E47" t="s">
        <v>524</v>
      </c>
      <c r="F47" t="s">
        <v>525</v>
      </c>
      <c r="G47" s="1">
        <v>39873</v>
      </c>
      <c r="I47" t="s">
        <v>353</v>
      </c>
      <c r="J47" t="s">
        <v>287</v>
      </c>
      <c r="K47" t="s">
        <v>288</v>
      </c>
      <c r="Q47" t="s">
        <v>289</v>
      </c>
      <c r="R47" t="str">
        <f>"КАЗАХСТАН, АКМОЛИНСКАЯ, ЗЕРЕНДИНСКИЙ РАЙОН, Малика Габдуллина, Серафимовка, 2, 1"</f>
        <v>КАЗАХСТАН, АКМОЛИНСКАЯ, ЗЕРЕНДИНСКИЙ РАЙОН, Малика Габдуллина, Серафимовка, 2, 1</v>
      </c>
      <c r="S47" t="str">
        <f>"ҚАЗАҚСТАН, АҚМОЛА, ЗЕРЕНДІ АУДАНЫ, Малика Габдуллина, Серафимовка, 2, 1"</f>
        <v>ҚАЗАҚСТАН, АҚМОЛА, ЗЕРЕНДІ АУДАНЫ, Малика Габдуллина, Серафимовка, 2, 1</v>
      </c>
      <c r="T47" t="str">
        <f>"Малика Габдуллина, Серафимовка, 2, 1"</f>
        <v>Малика Габдуллина, Серафимовка, 2, 1</v>
      </c>
      <c r="U47" t="str">
        <f>"Малика Габдуллина, Серафимовка, 2, 1"</f>
        <v>Малика Габдуллина, Серафимовка, 2, 1</v>
      </c>
      <c r="AC47" t="str">
        <f>"2015-09-01T00:00:00"</f>
        <v>2015-09-01T00:00:00</v>
      </c>
      <c r="AD47" t="str">
        <f>"1"</f>
        <v>1</v>
      </c>
      <c r="AE47" t="str">
        <f>"2024-09-01T18:15:50"</f>
        <v>2024-09-01T18:15:50</v>
      </c>
      <c r="AF47" t="str">
        <f>"2025-05-25T18:15:50"</f>
        <v>2025-05-25T18:15:50</v>
      </c>
      <c r="AG47" t="s">
        <v>290</v>
      </c>
      <c r="AH47" t="str">
        <f>"nurikdau@gmail.kz"</f>
        <v>nurikdau@gmail.kz</v>
      </c>
      <c r="AI47" t="s">
        <v>476</v>
      </c>
      <c r="AK47" t="s">
        <v>402</v>
      </c>
      <c r="AP47" t="s">
        <v>293</v>
      </c>
      <c r="AT47" t="s">
        <v>294</v>
      </c>
      <c r="AU47" t="s">
        <v>295</v>
      </c>
      <c r="AW47" t="s">
        <v>296</v>
      </c>
      <c r="AX47">
        <v>1</v>
      </c>
      <c r="AY47" t="s">
        <v>297</v>
      </c>
      <c r="AZ47" t="s">
        <v>298</v>
      </c>
      <c r="BA47" t="s">
        <v>349</v>
      </c>
      <c r="BE47" t="str">
        <f>"2020-08-27T10:29:20"</f>
        <v>2020-08-27T10:29:20</v>
      </c>
      <c r="BF47" t="s">
        <v>294</v>
      </c>
      <c r="BG47" t="s">
        <v>300</v>
      </c>
      <c r="BI47" t="s">
        <v>298</v>
      </c>
      <c r="BR47" t="s">
        <v>289</v>
      </c>
      <c r="BS47" t="s">
        <v>301</v>
      </c>
      <c r="BT47" t="s">
        <v>302</v>
      </c>
      <c r="BU47" t="s">
        <v>303</v>
      </c>
      <c r="BV47" t="s">
        <v>304</v>
      </c>
      <c r="BX47" t="s">
        <v>305</v>
      </c>
      <c r="BY47" t="s">
        <v>298</v>
      </c>
      <c r="BZ47" t="s">
        <v>403</v>
      </c>
      <c r="CA47" t="s">
        <v>526</v>
      </c>
      <c r="CC47" t="s">
        <v>308</v>
      </c>
      <c r="CD47" t="s">
        <v>309</v>
      </c>
      <c r="CE47" t="s">
        <v>294</v>
      </c>
      <c r="CH47" t="s">
        <v>304</v>
      </c>
      <c r="CI47" t="s">
        <v>304</v>
      </c>
      <c r="CK47" t="s">
        <v>455</v>
      </c>
      <c r="CL47" t="s">
        <v>328</v>
      </c>
      <c r="CM47" t="s">
        <v>298</v>
      </c>
      <c r="CO47" t="s">
        <v>312</v>
      </c>
      <c r="CT47" t="s">
        <v>294</v>
      </c>
      <c r="CU47" t="s">
        <v>405</v>
      </c>
      <c r="CW47" t="s">
        <v>406</v>
      </c>
      <c r="CX47" t="s">
        <v>316</v>
      </c>
      <c r="CZ47" t="s">
        <v>289</v>
      </c>
      <c r="DA47" t="s">
        <v>289</v>
      </c>
      <c r="DB47" t="s">
        <v>289</v>
      </c>
      <c r="DC47" t="s">
        <v>289</v>
      </c>
      <c r="DI47" t="s">
        <v>289</v>
      </c>
      <c r="DL47" t="s">
        <v>289</v>
      </c>
      <c r="DM47" t="s">
        <v>317</v>
      </c>
      <c r="DS47" t="s">
        <v>289</v>
      </c>
      <c r="DT47" t="s">
        <v>289</v>
      </c>
      <c r="DU47" t="s">
        <v>318</v>
      </c>
      <c r="DV47" t="s">
        <v>289</v>
      </c>
      <c r="DX47" t="s">
        <v>319</v>
      </c>
      <c r="EA47" t="s">
        <v>294</v>
      </c>
    </row>
    <row r="48" spans="1:131" x14ac:dyDescent="0.25">
      <c r="A48">
        <v>157453</v>
      </c>
      <c r="B48">
        <v>147618</v>
      </c>
      <c r="C48" t="str">
        <f>"090705551422"</f>
        <v>090705551422</v>
      </c>
      <c r="D48" t="s">
        <v>527</v>
      </c>
      <c r="E48" t="s">
        <v>528</v>
      </c>
      <c r="F48" t="s">
        <v>529</v>
      </c>
      <c r="G48" s="1">
        <v>39999</v>
      </c>
      <c r="I48" t="s">
        <v>353</v>
      </c>
      <c r="J48" t="s">
        <v>287</v>
      </c>
      <c r="K48" t="s">
        <v>288</v>
      </c>
      <c r="Q48" t="s">
        <v>289</v>
      </c>
      <c r="R48" t="str">
        <f>"КАЗАХСТАН, АКМОЛИНСКАЯ, ЗЕРЕНДИНСКИЙ РАЙОН, Байтерекский, Ульгули, 3"</f>
        <v>КАЗАХСТАН, АКМОЛИНСКАЯ, ЗЕРЕНДИНСКИЙ РАЙОН, Байтерекский, Ульгули, 3</v>
      </c>
      <c r="S48" t="str">
        <f>"ҚАЗАҚСТАН, АҚМОЛА, ЗЕРЕНДІ АУДАНЫ, Байтерекский, Ульгули, 3"</f>
        <v>ҚАЗАҚСТАН, АҚМОЛА, ЗЕРЕНДІ АУДАНЫ, Байтерекский, Ульгули, 3</v>
      </c>
      <c r="T48" t="str">
        <f>"Байтерекский, Ульгули, 3"</f>
        <v>Байтерекский, Ульгули, 3</v>
      </c>
      <c r="U48" t="str">
        <f>"Байтерекский, Ульгули, 3"</f>
        <v>Байтерекский, Ульгули, 3</v>
      </c>
      <c r="AC48" t="str">
        <f>"2015-09-01T00:00:00"</f>
        <v>2015-09-01T00:00:00</v>
      </c>
      <c r="AD48" t="str">
        <f>"1"</f>
        <v>1</v>
      </c>
      <c r="AE48" t="str">
        <f>"2024-09-01T18:16:39"</f>
        <v>2024-09-01T18:16:39</v>
      </c>
      <c r="AF48" t="str">
        <f>"2025-05-25T18:16:39"</f>
        <v>2025-05-25T18:16:39</v>
      </c>
      <c r="AG48" t="s">
        <v>290</v>
      </c>
      <c r="AH48" t="str">
        <f>"hzanalin@mail.ru"</f>
        <v>hzanalin@mail.ru</v>
      </c>
      <c r="AI48" t="s">
        <v>476</v>
      </c>
      <c r="AK48" t="s">
        <v>402</v>
      </c>
      <c r="AP48" t="s">
        <v>293</v>
      </c>
      <c r="AT48" t="s">
        <v>294</v>
      </c>
      <c r="AU48" t="s">
        <v>295</v>
      </c>
      <c r="AW48" t="s">
        <v>296</v>
      </c>
      <c r="AX48">
        <v>1</v>
      </c>
      <c r="AY48" t="s">
        <v>297</v>
      </c>
      <c r="AZ48" t="s">
        <v>298</v>
      </c>
      <c r="BA48" t="s">
        <v>349</v>
      </c>
      <c r="BF48" t="s">
        <v>294</v>
      </c>
      <c r="BG48" t="s">
        <v>300</v>
      </c>
      <c r="BI48" t="s">
        <v>298</v>
      </c>
      <c r="BR48" t="s">
        <v>289</v>
      </c>
      <c r="BS48" t="s">
        <v>433</v>
      </c>
      <c r="BT48" t="s">
        <v>434</v>
      </c>
      <c r="BU48" t="s">
        <v>303</v>
      </c>
      <c r="BV48" t="s">
        <v>304</v>
      </c>
      <c r="BX48" t="s">
        <v>324</v>
      </c>
      <c r="BY48" t="s">
        <v>298</v>
      </c>
      <c r="BZ48" t="s">
        <v>403</v>
      </c>
      <c r="CA48" t="s">
        <v>526</v>
      </c>
      <c r="CC48" t="s">
        <v>308</v>
      </c>
      <c r="CD48" t="s">
        <v>309</v>
      </c>
      <c r="CE48" t="s">
        <v>294</v>
      </c>
      <c r="CH48" t="s">
        <v>304</v>
      </c>
      <c r="CI48" t="s">
        <v>304</v>
      </c>
      <c r="CK48" t="s">
        <v>414</v>
      </c>
      <c r="CL48" t="s">
        <v>311</v>
      </c>
      <c r="CM48" t="s">
        <v>530</v>
      </c>
      <c r="CN48" t="s">
        <v>311</v>
      </c>
      <c r="CO48" t="s">
        <v>312</v>
      </c>
      <c r="CT48" t="s">
        <v>294</v>
      </c>
      <c r="CU48" t="s">
        <v>405</v>
      </c>
      <c r="CW48" t="s">
        <v>406</v>
      </c>
      <c r="CX48" t="s">
        <v>316</v>
      </c>
      <c r="CZ48" t="s">
        <v>289</v>
      </c>
      <c r="DA48" t="s">
        <v>289</v>
      </c>
      <c r="DB48" t="s">
        <v>289</v>
      </c>
      <c r="DC48" t="s">
        <v>289</v>
      </c>
      <c r="DI48" t="s">
        <v>289</v>
      </c>
      <c r="DL48" t="s">
        <v>289</v>
      </c>
      <c r="DM48" t="s">
        <v>317</v>
      </c>
      <c r="DS48" t="s">
        <v>289</v>
      </c>
      <c r="DT48" t="s">
        <v>289</v>
      </c>
      <c r="DU48" t="s">
        <v>318</v>
      </c>
      <c r="DV48" t="s">
        <v>289</v>
      </c>
      <c r="DX48" t="s">
        <v>319</v>
      </c>
      <c r="EA48" t="s">
        <v>289</v>
      </c>
    </row>
    <row r="49" spans="1:131" x14ac:dyDescent="0.25">
      <c r="A49">
        <v>157459</v>
      </c>
      <c r="B49">
        <v>147622</v>
      </c>
      <c r="C49" t="str">
        <f>"090611554446"</f>
        <v>090611554446</v>
      </c>
      <c r="D49" t="s">
        <v>531</v>
      </c>
      <c r="E49" t="s">
        <v>532</v>
      </c>
      <c r="F49" t="s">
        <v>533</v>
      </c>
      <c r="G49" s="1">
        <v>39975</v>
      </c>
      <c r="I49" t="s">
        <v>353</v>
      </c>
      <c r="J49" t="s">
        <v>287</v>
      </c>
      <c r="K49" t="s">
        <v>534</v>
      </c>
      <c r="Q49" t="s">
        <v>289</v>
      </c>
      <c r="R49" t="str">
        <f>"КАЗАХСТАН, АКМОЛИНСКАЯ, ЗЕРЕНДИНСКИЙ РАЙОН, ОКТЯБРЬ, -, -"</f>
        <v>КАЗАХСТАН, АКМОЛИНСКАЯ, ЗЕРЕНДИНСКИЙ РАЙОН, ОКТЯБРЬ, -, -</v>
      </c>
      <c r="S49" t="str">
        <f>"ҚАЗАҚСТАН, АҚМОЛА, ЗЕРЕНДІ АУДАНЫ, ОКТЯБРЬ, -, -"</f>
        <v>ҚАЗАҚСТАН, АҚМОЛА, ЗЕРЕНДІ АУДАНЫ, ОКТЯБРЬ, -, -</v>
      </c>
      <c r="T49" t="str">
        <f>"ОКТЯБРЬ, -, -"</f>
        <v>ОКТЯБРЬ, -, -</v>
      </c>
      <c r="U49" t="str">
        <f>"ОКТЯБРЬ, -, -"</f>
        <v>ОКТЯБРЬ, -, -</v>
      </c>
      <c r="AC49" t="str">
        <f>"2015-09-01T00:00:00"</f>
        <v>2015-09-01T00:00:00</v>
      </c>
      <c r="AD49" t="str">
        <f>"1"</f>
        <v>1</v>
      </c>
      <c r="AE49" t="str">
        <f>"2024-09-01T18:17:46"</f>
        <v>2024-09-01T18:17:46</v>
      </c>
      <c r="AF49" t="str">
        <f>"2025-05-25T18:17:46"</f>
        <v>2025-05-25T18:17:46</v>
      </c>
      <c r="AG49" t="s">
        <v>290</v>
      </c>
      <c r="AH49" t="str">
        <f>"ArtemIma@mail.ru"</f>
        <v>ArtemIma@mail.ru</v>
      </c>
      <c r="AI49" t="s">
        <v>476</v>
      </c>
      <c r="AK49" t="s">
        <v>402</v>
      </c>
      <c r="AP49" t="s">
        <v>293</v>
      </c>
      <c r="AT49" t="s">
        <v>294</v>
      </c>
      <c r="AU49" t="s">
        <v>295</v>
      </c>
      <c r="AW49" t="s">
        <v>296</v>
      </c>
      <c r="AX49">
        <v>1</v>
      </c>
      <c r="AY49" t="s">
        <v>297</v>
      </c>
      <c r="AZ49" t="s">
        <v>298</v>
      </c>
      <c r="BA49" t="s">
        <v>349</v>
      </c>
      <c r="BF49" t="s">
        <v>294</v>
      </c>
      <c r="BG49" t="s">
        <v>300</v>
      </c>
      <c r="BI49" t="s">
        <v>298</v>
      </c>
      <c r="BR49" t="s">
        <v>289</v>
      </c>
      <c r="BS49" t="s">
        <v>433</v>
      </c>
      <c r="BT49" t="s">
        <v>434</v>
      </c>
      <c r="BU49" t="s">
        <v>303</v>
      </c>
      <c r="BV49" t="s">
        <v>304</v>
      </c>
      <c r="BX49" t="s">
        <v>305</v>
      </c>
      <c r="BY49" t="s">
        <v>298</v>
      </c>
      <c r="BZ49" t="s">
        <v>403</v>
      </c>
      <c r="CA49" t="s">
        <v>535</v>
      </c>
      <c r="CC49" t="s">
        <v>308</v>
      </c>
      <c r="CD49" t="s">
        <v>309</v>
      </c>
      <c r="CE49" t="s">
        <v>294</v>
      </c>
      <c r="CH49" t="s">
        <v>304</v>
      </c>
      <c r="CI49" t="s">
        <v>304</v>
      </c>
      <c r="CK49" t="s">
        <v>455</v>
      </c>
      <c r="CL49" t="s">
        <v>328</v>
      </c>
      <c r="CM49" t="s">
        <v>530</v>
      </c>
      <c r="CN49" t="s">
        <v>311</v>
      </c>
      <c r="CO49" t="s">
        <v>312</v>
      </c>
      <c r="CT49" t="s">
        <v>294</v>
      </c>
      <c r="CU49" t="s">
        <v>405</v>
      </c>
      <c r="CW49" t="s">
        <v>406</v>
      </c>
      <c r="CX49" t="s">
        <v>316</v>
      </c>
      <c r="CZ49" t="s">
        <v>289</v>
      </c>
      <c r="DA49" t="s">
        <v>289</v>
      </c>
      <c r="DB49" t="s">
        <v>289</v>
      </c>
      <c r="DC49" t="s">
        <v>289</v>
      </c>
      <c r="DI49" t="s">
        <v>289</v>
      </c>
      <c r="DL49" t="s">
        <v>289</v>
      </c>
      <c r="DM49" t="s">
        <v>317</v>
      </c>
      <c r="DS49" t="s">
        <v>289</v>
      </c>
      <c r="DT49" t="s">
        <v>289</v>
      </c>
      <c r="DU49" t="s">
        <v>318</v>
      </c>
      <c r="DV49" t="s">
        <v>289</v>
      </c>
      <c r="DX49" t="s">
        <v>319</v>
      </c>
      <c r="EA49" t="s">
        <v>289</v>
      </c>
    </row>
    <row r="50" spans="1:131" x14ac:dyDescent="0.25">
      <c r="A50">
        <v>157465</v>
      </c>
      <c r="B50">
        <v>147629</v>
      </c>
      <c r="C50" t="str">
        <f>"091006650929"</f>
        <v>091006650929</v>
      </c>
      <c r="D50" t="s">
        <v>536</v>
      </c>
      <c r="E50" t="s">
        <v>537</v>
      </c>
      <c r="F50" t="s">
        <v>538</v>
      </c>
      <c r="G50" s="1">
        <v>40092</v>
      </c>
      <c r="I50" t="s">
        <v>286</v>
      </c>
      <c r="J50" t="s">
        <v>287</v>
      </c>
      <c r="K50" t="s">
        <v>288</v>
      </c>
      <c r="Q50" t="s">
        <v>289</v>
      </c>
      <c r="R50" t="str">
        <f>"КАЗАХСТАН, АКМОЛИНСКАЯ, ЗЕРЕНДИНСКИЙ РАЙОН, Зерендинский, Зеренда, 12, 2"</f>
        <v>КАЗАХСТАН, АКМОЛИНСКАЯ, ЗЕРЕНДИНСКИЙ РАЙОН, Зерендинский, Зеренда, 12, 2</v>
      </c>
      <c r="S50" t="str">
        <f>"ҚАЗАҚСТАН, АҚМОЛА, ЗЕРЕНДІ АУДАНЫ, Зерендинский, Зеренда, 12, 2"</f>
        <v>ҚАЗАҚСТАН, АҚМОЛА, ЗЕРЕНДІ АУДАНЫ, Зерендинский, Зеренда, 12, 2</v>
      </c>
      <c r="T50" t="str">
        <f>"Зерендинский, Зеренда, 12, 2"</f>
        <v>Зерендинский, Зеренда, 12, 2</v>
      </c>
      <c r="U50" t="str">
        <f>"Зерендинский, Зеренда, 12, 2"</f>
        <v>Зерендинский, Зеренда, 12, 2</v>
      </c>
      <c r="AC50" t="str">
        <f>"2015-09-01T00:00:00"</f>
        <v>2015-09-01T00:00:00</v>
      </c>
      <c r="AD50" t="str">
        <f>"1"</f>
        <v>1</v>
      </c>
      <c r="AE50" t="str">
        <f>"2024-09-01T18:36:47"</f>
        <v>2024-09-01T18:36:47</v>
      </c>
      <c r="AF50" t="str">
        <f>"2025-05-25T18:36:47"</f>
        <v>2025-05-25T18:36:47</v>
      </c>
      <c r="AG50" t="s">
        <v>290</v>
      </c>
      <c r="AH50" t="str">
        <f>"Yasmina@mail.ru"</f>
        <v>Yasmina@mail.ru</v>
      </c>
      <c r="AI50" t="s">
        <v>476</v>
      </c>
      <c r="AK50" t="s">
        <v>402</v>
      </c>
      <c r="AP50" t="s">
        <v>342</v>
      </c>
      <c r="AT50" t="s">
        <v>294</v>
      </c>
      <c r="AU50" t="s">
        <v>295</v>
      </c>
      <c r="AW50" t="s">
        <v>296</v>
      </c>
      <c r="AX50">
        <v>1</v>
      </c>
      <c r="AY50" t="s">
        <v>297</v>
      </c>
      <c r="AZ50" t="s">
        <v>298</v>
      </c>
      <c r="BA50" t="s">
        <v>299</v>
      </c>
      <c r="BF50" t="s">
        <v>294</v>
      </c>
      <c r="BG50" t="s">
        <v>300</v>
      </c>
      <c r="BI50" t="s">
        <v>298</v>
      </c>
      <c r="BR50" t="s">
        <v>289</v>
      </c>
      <c r="BS50" t="s">
        <v>301</v>
      </c>
      <c r="BT50" t="s">
        <v>302</v>
      </c>
      <c r="BU50" t="s">
        <v>303</v>
      </c>
      <c r="BV50" t="s">
        <v>304</v>
      </c>
      <c r="BX50" t="s">
        <v>324</v>
      </c>
      <c r="BY50" t="s">
        <v>298</v>
      </c>
      <c r="BZ50" t="s">
        <v>403</v>
      </c>
      <c r="CA50" t="s">
        <v>404</v>
      </c>
      <c r="CC50" t="s">
        <v>308</v>
      </c>
      <c r="CD50" t="s">
        <v>309</v>
      </c>
      <c r="CE50" t="s">
        <v>294</v>
      </c>
      <c r="CH50" t="s">
        <v>304</v>
      </c>
      <c r="CI50" t="s">
        <v>304</v>
      </c>
      <c r="CK50" t="s">
        <v>375</v>
      </c>
      <c r="CL50" t="s">
        <v>328</v>
      </c>
      <c r="CM50" t="s">
        <v>298</v>
      </c>
      <c r="CO50" t="s">
        <v>312</v>
      </c>
      <c r="CT50" t="s">
        <v>294</v>
      </c>
      <c r="CU50" t="s">
        <v>405</v>
      </c>
      <c r="CW50" t="s">
        <v>406</v>
      </c>
      <c r="CX50" t="s">
        <v>316</v>
      </c>
      <c r="CZ50" t="s">
        <v>289</v>
      </c>
      <c r="DA50" t="s">
        <v>289</v>
      </c>
      <c r="DB50" t="s">
        <v>289</v>
      </c>
      <c r="DC50" t="s">
        <v>289</v>
      </c>
      <c r="DI50" t="s">
        <v>289</v>
      </c>
      <c r="DL50" t="s">
        <v>289</v>
      </c>
      <c r="DM50" t="s">
        <v>317</v>
      </c>
      <c r="DS50" t="s">
        <v>289</v>
      </c>
      <c r="DT50" t="s">
        <v>289</v>
      </c>
      <c r="DU50" t="s">
        <v>318</v>
      </c>
      <c r="DV50" t="s">
        <v>289</v>
      </c>
      <c r="DX50" t="s">
        <v>319</v>
      </c>
      <c r="EA50" t="s">
        <v>289</v>
      </c>
    </row>
    <row r="51" spans="1:131" x14ac:dyDescent="0.25">
      <c r="A51">
        <v>157472</v>
      </c>
      <c r="B51">
        <v>147635</v>
      </c>
      <c r="C51" t="str">
        <f>"100805653939"</f>
        <v>100805653939</v>
      </c>
      <c r="D51" t="s">
        <v>539</v>
      </c>
      <c r="E51" t="s">
        <v>540</v>
      </c>
      <c r="F51" t="s">
        <v>541</v>
      </c>
      <c r="G51" s="1">
        <v>40395</v>
      </c>
      <c r="I51" t="s">
        <v>286</v>
      </c>
      <c r="J51" t="s">
        <v>287</v>
      </c>
      <c r="K51" t="s">
        <v>288</v>
      </c>
      <c r="Q51" t="s">
        <v>289</v>
      </c>
      <c r="R51" t="str">
        <f>"КАЗАХСТАН, АКМОЛИНСКАЯ, ЗЕРЕНДИНСКИЙ РАЙОН, Зерендинский, Зеренда, 18"</f>
        <v>КАЗАХСТАН, АКМОЛИНСКАЯ, ЗЕРЕНДИНСКИЙ РАЙОН, Зерендинский, Зеренда, 18</v>
      </c>
      <c r="S51" t="str">
        <f>"ҚАЗАҚСТАН, АҚМОЛА, ЗЕРЕНДІ АУДАНЫ, Зерендинский, Зеренда, 18"</f>
        <v>ҚАЗАҚСТАН, АҚМОЛА, ЗЕРЕНДІ АУДАНЫ, Зерендинский, Зеренда, 18</v>
      </c>
      <c r="T51" t="str">
        <f>"Зерендинский, Зеренда, 18"</f>
        <v>Зерендинский, Зеренда, 18</v>
      </c>
      <c r="U51" t="str">
        <f>"Зерендинский, Зеренда, 18"</f>
        <v>Зерендинский, Зеренда, 18</v>
      </c>
      <c r="AC51" t="str">
        <f>"2015-09-01T00:00:00"</f>
        <v>2015-09-01T00:00:00</v>
      </c>
      <c r="AD51" t="str">
        <f>"1"</f>
        <v>1</v>
      </c>
      <c r="AE51" t="str">
        <f>"2024-09-01T15:16:27"</f>
        <v>2024-09-01T15:16:27</v>
      </c>
      <c r="AF51" t="str">
        <f>"2025-05-25T15:16:27"</f>
        <v>2025-05-25T15:16:27</v>
      </c>
      <c r="AG51" t="s">
        <v>290</v>
      </c>
      <c r="AH51" t="str">
        <f>"Aliya10@mail.ru"</f>
        <v>Aliya10@mail.ru</v>
      </c>
      <c r="AI51" t="s">
        <v>476</v>
      </c>
      <c r="AK51" t="s">
        <v>402</v>
      </c>
      <c r="AP51" t="s">
        <v>293</v>
      </c>
      <c r="AQ51" t="s">
        <v>289</v>
      </c>
      <c r="AT51" t="s">
        <v>294</v>
      </c>
      <c r="AU51" t="s">
        <v>295</v>
      </c>
      <c r="AW51" t="s">
        <v>296</v>
      </c>
      <c r="AX51">
        <v>1</v>
      </c>
      <c r="AY51" t="s">
        <v>297</v>
      </c>
      <c r="AZ51" t="s">
        <v>298</v>
      </c>
      <c r="BA51" t="s">
        <v>349</v>
      </c>
      <c r="BE51" t="str">
        <f>"2020-08-26T15:36:29"</f>
        <v>2020-08-26T15:36:29</v>
      </c>
      <c r="BF51" t="s">
        <v>294</v>
      </c>
      <c r="BG51" t="s">
        <v>300</v>
      </c>
      <c r="BI51" t="s">
        <v>298</v>
      </c>
      <c r="BR51" t="s">
        <v>289</v>
      </c>
      <c r="BS51" t="s">
        <v>301</v>
      </c>
      <c r="BT51" t="s">
        <v>302</v>
      </c>
      <c r="BU51" t="s">
        <v>303</v>
      </c>
      <c r="BV51" t="s">
        <v>304</v>
      </c>
      <c r="BX51" t="s">
        <v>324</v>
      </c>
      <c r="BY51" t="s">
        <v>298</v>
      </c>
      <c r="BZ51" t="s">
        <v>403</v>
      </c>
      <c r="CA51" t="s">
        <v>526</v>
      </c>
      <c r="CC51" t="s">
        <v>308</v>
      </c>
      <c r="CD51" t="s">
        <v>309</v>
      </c>
      <c r="CE51" t="s">
        <v>294</v>
      </c>
      <c r="CH51" t="s">
        <v>304</v>
      </c>
      <c r="CI51" t="s">
        <v>304</v>
      </c>
      <c r="CK51" t="s">
        <v>471</v>
      </c>
      <c r="CL51" t="s">
        <v>328</v>
      </c>
      <c r="CM51" t="s">
        <v>298</v>
      </c>
      <c r="CO51" t="s">
        <v>312</v>
      </c>
      <c r="CT51" t="s">
        <v>294</v>
      </c>
      <c r="CU51" t="s">
        <v>405</v>
      </c>
      <c r="CW51" t="s">
        <v>406</v>
      </c>
      <c r="CX51" t="s">
        <v>316</v>
      </c>
      <c r="CZ51" t="s">
        <v>289</v>
      </c>
      <c r="DA51" t="s">
        <v>289</v>
      </c>
      <c r="DB51" t="s">
        <v>289</v>
      </c>
      <c r="DC51" t="s">
        <v>289</v>
      </c>
      <c r="DI51" t="s">
        <v>289</v>
      </c>
      <c r="DL51" t="s">
        <v>289</v>
      </c>
      <c r="DM51" t="s">
        <v>317</v>
      </c>
      <c r="DS51" t="s">
        <v>289</v>
      </c>
      <c r="DT51" t="s">
        <v>289</v>
      </c>
      <c r="DU51" t="s">
        <v>318</v>
      </c>
      <c r="DV51" t="s">
        <v>289</v>
      </c>
      <c r="DX51" t="s">
        <v>368</v>
      </c>
      <c r="DY51" t="s">
        <v>472</v>
      </c>
      <c r="DZ51" t="s">
        <v>473</v>
      </c>
      <c r="EA51" t="s">
        <v>294</v>
      </c>
    </row>
    <row r="52" spans="1:131" x14ac:dyDescent="0.25">
      <c r="A52">
        <v>157476</v>
      </c>
      <c r="B52">
        <v>147640</v>
      </c>
      <c r="C52" t="str">
        <f>"100801651801"</f>
        <v>100801651801</v>
      </c>
      <c r="D52" t="s">
        <v>542</v>
      </c>
      <c r="E52" t="s">
        <v>449</v>
      </c>
      <c r="F52" t="s">
        <v>543</v>
      </c>
      <c r="G52" s="1">
        <v>40391</v>
      </c>
      <c r="I52" t="s">
        <v>286</v>
      </c>
      <c r="J52" t="s">
        <v>287</v>
      </c>
      <c r="K52" t="s">
        <v>288</v>
      </c>
      <c r="Q52" t="s">
        <v>289</v>
      </c>
      <c r="R52" t="str">
        <f>"КАЗАХСТАН, АКМОЛИНСКАЯ, ЗЕРЕНДИНСКИЙ РАЙОН, Зерендинский, Зеренда, 16, 6"</f>
        <v>КАЗАХСТАН, АКМОЛИНСКАЯ, ЗЕРЕНДИНСКИЙ РАЙОН, Зерендинский, Зеренда, 16, 6</v>
      </c>
      <c r="S52" t="str">
        <f>"ҚАЗАҚСТАН, АҚМОЛА, ЗЕРЕНДІ АУДАНЫ, Зерендинский, Зеренда, 16, 6"</f>
        <v>ҚАЗАҚСТАН, АҚМОЛА, ЗЕРЕНДІ АУДАНЫ, Зерендинский, Зеренда, 16, 6</v>
      </c>
      <c r="T52" t="str">
        <f>"Зерендинский, Зеренда, 16, 6"</f>
        <v>Зерендинский, Зеренда, 16, 6</v>
      </c>
      <c r="U52" t="str">
        <f>"Зерендинский, Зеренда, 16, 6"</f>
        <v>Зерендинский, Зеренда, 16, 6</v>
      </c>
      <c r="AC52" t="str">
        <f>"2015-09-01T00:00:00"</f>
        <v>2015-09-01T00:00:00</v>
      </c>
      <c r="AD52" t="str">
        <f>"1"</f>
        <v>1</v>
      </c>
      <c r="AE52" t="str">
        <f>"2024-09-01T18:19:18"</f>
        <v>2024-09-01T18:19:18</v>
      </c>
      <c r="AF52" t="str">
        <f>"2025-05-25T18:19:18"</f>
        <v>2025-05-25T18:19:18</v>
      </c>
      <c r="AG52" t="s">
        <v>290</v>
      </c>
      <c r="AH52" t="str">
        <f>"Aruka10@mail.ru"</f>
        <v>Aruka10@mail.ru</v>
      </c>
      <c r="AI52" t="s">
        <v>476</v>
      </c>
      <c r="AK52" t="s">
        <v>402</v>
      </c>
      <c r="AP52" t="s">
        <v>293</v>
      </c>
      <c r="AT52" t="s">
        <v>294</v>
      </c>
      <c r="AU52" t="s">
        <v>295</v>
      </c>
      <c r="AW52" t="s">
        <v>296</v>
      </c>
      <c r="AX52">
        <v>1</v>
      </c>
      <c r="AY52" t="s">
        <v>297</v>
      </c>
      <c r="AZ52" t="s">
        <v>298</v>
      </c>
      <c r="BA52" t="s">
        <v>349</v>
      </c>
      <c r="BF52" t="s">
        <v>294</v>
      </c>
      <c r="BG52" t="s">
        <v>300</v>
      </c>
      <c r="BI52" t="s">
        <v>298</v>
      </c>
      <c r="BR52" t="s">
        <v>289</v>
      </c>
      <c r="BS52" t="s">
        <v>301</v>
      </c>
      <c r="BT52" t="s">
        <v>302</v>
      </c>
      <c r="BU52" t="s">
        <v>303</v>
      </c>
      <c r="BV52" t="s">
        <v>304</v>
      </c>
      <c r="BX52" t="s">
        <v>305</v>
      </c>
      <c r="BY52" t="s">
        <v>298</v>
      </c>
      <c r="BZ52" t="s">
        <v>544</v>
      </c>
      <c r="CA52" t="s">
        <v>454</v>
      </c>
      <c r="CC52" t="s">
        <v>308</v>
      </c>
      <c r="CD52" t="s">
        <v>309</v>
      </c>
      <c r="CE52" t="s">
        <v>294</v>
      </c>
      <c r="CH52" t="s">
        <v>304</v>
      </c>
      <c r="CI52" t="s">
        <v>304</v>
      </c>
      <c r="CK52" t="s">
        <v>455</v>
      </c>
      <c r="CL52" t="s">
        <v>328</v>
      </c>
      <c r="CM52" t="s">
        <v>298</v>
      </c>
      <c r="CO52" t="s">
        <v>312</v>
      </c>
      <c r="CT52" t="s">
        <v>294</v>
      </c>
      <c r="CU52" t="s">
        <v>405</v>
      </c>
      <c r="CW52" t="s">
        <v>406</v>
      </c>
      <c r="CX52" t="s">
        <v>316</v>
      </c>
      <c r="CZ52" t="s">
        <v>289</v>
      </c>
      <c r="DA52" t="s">
        <v>289</v>
      </c>
      <c r="DB52" t="s">
        <v>289</v>
      </c>
      <c r="DC52" t="s">
        <v>289</v>
      </c>
      <c r="DI52" t="s">
        <v>289</v>
      </c>
      <c r="DL52" t="s">
        <v>289</v>
      </c>
      <c r="DM52" t="s">
        <v>317</v>
      </c>
      <c r="DS52" t="s">
        <v>289</v>
      </c>
      <c r="DT52" t="s">
        <v>289</v>
      </c>
      <c r="DU52" t="s">
        <v>318</v>
      </c>
      <c r="DV52" t="s">
        <v>289</v>
      </c>
      <c r="DX52" t="s">
        <v>319</v>
      </c>
      <c r="EA52" t="s">
        <v>289</v>
      </c>
    </row>
    <row r="53" spans="1:131" x14ac:dyDescent="0.25">
      <c r="A53">
        <v>157483</v>
      </c>
      <c r="B53">
        <v>147643</v>
      </c>
      <c r="C53" t="str">
        <f>"130404604272"</f>
        <v>130404604272</v>
      </c>
      <c r="D53" t="s">
        <v>545</v>
      </c>
      <c r="E53" t="s">
        <v>330</v>
      </c>
      <c r="F53" t="s">
        <v>546</v>
      </c>
      <c r="G53" s="1">
        <v>41368</v>
      </c>
      <c r="I53" t="s">
        <v>286</v>
      </c>
      <c r="J53" t="s">
        <v>287</v>
      </c>
      <c r="K53" t="s">
        <v>534</v>
      </c>
      <c r="Q53" t="s">
        <v>289</v>
      </c>
      <c r="R53" t="str">
        <f>"КАЗАХСТАН, АКМОЛИНСКАЯ, ЗЕРЕНДИНСКИЙ РАЙОН, ЗЕРЕНДА, 17, 14"</f>
        <v>КАЗАХСТАН, АКМОЛИНСКАЯ, ЗЕРЕНДИНСКИЙ РАЙОН, ЗЕРЕНДА, 17, 14</v>
      </c>
      <c r="S53" t="str">
        <f>"ҚАЗАҚСТАН, АҚМОЛА, ЗЕРЕНДІ АУДАНЫ, ЗЕРЕНДА, 17, 14"</f>
        <v>ҚАЗАҚСТАН, АҚМОЛА, ЗЕРЕНДІ АУДАНЫ, ЗЕРЕНДА, 17, 14</v>
      </c>
      <c r="T53" t="str">
        <f>"ЗЕРЕНДА, 17, 14"</f>
        <v>ЗЕРЕНДА, 17, 14</v>
      </c>
      <c r="U53" t="str">
        <f>"ЗЕРЕНДА, 17, 14"</f>
        <v>ЗЕРЕНДА, 17, 14</v>
      </c>
      <c r="AC53" t="str">
        <f>"2018-08-29T00:00:00"</f>
        <v>2018-08-29T00:00:00</v>
      </c>
      <c r="AD53" t="str">
        <f>"61"</f>
        <v>61</v>
      </c>
      <c r="AE53" t="str">
        <f>"2024-09-01T21:24:54"</f>
        <v>2024-09-01T21:24:54</v>
      </c>
      <c r="AF53" t="str">
        <f>"2025-05-25T21:24:54"</f>
        <v>2025-05-25T21:24:54</v>
      </c>
      <c r="AG53" t="s">
        <v>290</v>
      </c>
      <c r="AI53" t="s">
        <v>373</v>
      </c>
      <c r="AK53" t="s">
        <v>465</v>
      </c>
      <c r="AP53" t="s">
        <v>293</v>
      </c>
      <c r="AT53" t="s">
        <v>294</v>
      </c>
      <c r="AU53" t="s">
        <v>295</v>
      </c>
      <c r="AW53" t="s">
        <v>296</v>
      </c>
      <c r="AX53">
        <v>2</v>
      </c>
      <c r="AY53" t="s">
        <v>297</v>
      </c>
      <c r="AZ53" t="s">
        <v>298</v>
      </c>
      <c r="BA53" t="s">
        <v>490</v>
      </c>
      <c r="BF53" t="s">
        <v>294</v>
      </c>
      <c r="BG53" t="s">
        <v>300</v>
      </c>
      <c r="BI53" t="s">
        <v>298</v>
      </c>
      <c r="BR53" t="s">
        <v>289</v>
      </c>
      <c r="BS53" t="s">
        <v>301</v>
      </c>
      <c r="BT53" t="s">
        <v>302</v>
      </c>
      <c r="BU53" t="s">
        <v>303</v>
      </c>
      <c r="BV53" t="s">
        <v>304</v>
      </c>
      <c r="BX53" t="s">
        <v>324</v>
      </c>
      <c r="BY53" t="s">
        <v>298</v>
      </c>
      <c r="BZ53" t="s">
        <v>491</v>
      </c>
      <c r="CA53" t="s">
        <v>511</v>
      </c>
      <c r="CC53" t="s">
        <v>308</v>
      </c>
      <c r="CD53" t="s">
        <v>309</v>
      </c>
      <c r="CE53" t="s">
        <v>294</v>
      </c>
      <c r="CH53" t="s">
        <v>304</v>
      </c>
      <c r="CI53" t="s">
        <v>304</v>
      </c>
      <c r="CK53" t="s">
        <v>335</v>
      </c>
      <c r="CM53" t="s">
        <v>547</v>
      </c>
      <c r="CN53" t="s">
        <v>548</v>
      </c>
      <c r="CO53" t="s">
        <v>312</v>
      </c>
      <c r="CT53" t="s">
        <v>294</v>
      </c>
      <c r="CU53" t="s">
        <v>313</v>
      </c>
      <c r="CV53" t="s">
        <v>314</v>
      </c>
      <c r="CW53" t="s">
        <v>315</v>
      </c>
      <c r="CX53" t="s">
        <v>316</v>
      </c>
      <c r="CZ53" t="s">
        <v>289</v>
      </c>
      <c r="DA53" t="s">
        <v>289</v>
      </c>
      <c r="DB53" t="s">
        <v>289</v>
      </c>
      <c r="DC53" t="s">
        <v>289</v>
      </c>
      <c r="DI53" t="s">
        <v>289</v>
      </c>
      <c r="DL53" t="s">
        <v>289</v>
      </c>
      <c r="DM53" t="s">
        <v>317</v>
      </c>
      <c r="DS53" t="s">
        <v>289</v>
      </c>
      <c r="DT53" t="s">
        <v>289</v>
      </c>
      <c r="DU53" t="s">
        <v>318</v>
      </c>
      <c r="DV53" t="s">
        <v>289</v>
      </c>
      <c r="DX53" t="s">
        <v>319</v>
      </c>
      <c r="EA53" t="s">
        <v>289</v>
      </c>
    </row>
    <row r="54" spans="1:131" x14ac:dyDescent="0.25">
      <c r="A54">
        <v>157519</v>
      </c>
      <c r="B54">
        <v>147673</v>
      </c>
      <c r="C54" t="str">
        <f>"110615501861"</f>
        <v>110615501861</v>
      </c>
      <c r="D54" t="s">
        <v>549</v>
      </c>
      <c r="E54" t="s">
        <v>550</v>
      </c>
      <c r="F54" t="s">
        <v>551</v>
      </c>
      <c r="G54" s="1">
        <v>40709</v>
      </c>
      <c r="I54" t="s">
        <v>353</v>
      </c>
      <c r="J54" t="s">
        <v>287</v>
      </c>
      <c r="K54" t="s">
        <v>288</v>
      </c>
      <c r="Q54" t="s">
        <v>289</v>
      </c>
      <c r="R54" t="str">
        <f>"КАЗАХСТАН, АКМОЛИНСКАЯ, ЗЕРЕНДИНСКИЙ РАЙОН, ЗЕРЕНДА, 32, 3"</f>
        <v>КАЗАХСТАН, АКМОЛИНСКАЯ, ЗЕРЕНДИНСКИЙ РАЙОН, ЗЕРЕНДА, 32, 3</v>
      </c>
      <c r="S54" t="str">
        <f>"ҚАЗАҚСТАН, АҚМОЛА, ЗЕРЕНДІ АУДАНЫ, ЗЕРЕНДА, 32, 3"</f>
        <v>ҚАЗАҚСТАН, АҚМОЛА, ЗЕРЕНДІ АУДАНЫ, ЗЕРЕНДА, 32, 3</v>
      </c>
      <c r="T54" t="str">
        <f>"ЗЕРЕНДА, 32, 3"</f>
        <v>ЗЕРЕНДА, 32, 3</v>
      </c>
      <c r="U54" t="str">
        <f>"ЗЕРЕНДА, 32, 3"</f>
        <v>ЗЕРЕНДА, 32, 3</v>
      </c>
      <c r="AC54" t="str">
        <f>"2017-08-25T00:00:00"</f>
        <v>2017-08-25T00:00:00</v>
      </c>
      <c r="AD54" t="str">
        <f>"37"</f>
        <v>37</v>
      </c>
      <c r="AE54" t="str">
        <f>"2024-09-01T14:59:05"</f>
        <v>2024-09-01T14:59:05</v>
      </c>
      <c r="AF54" t="str">
        <f>"2025-05-25T14:59:05"</f>
        <v>2025-05-25T14:59:05</v>
      </c>
      <c r="AG54" t="s">
        <v>290</v>
      </c>
      <c r="AI54" t="s">
        <v>373</v>
      </c>
      <c r="AK54" t="s">
        <v>292</v>
      </c>
      <c r="AP54" t="s">
        <v>342</v>
      </c>
      <c r="AT54" t="s">
        <v>294</v>
      </c>
      <c r="AU54" t="s">
        <v>295</v>
      </c>
      <c r="AW54" t="s">
        <v>296</v>
      </c>
      <c r="AX54">
        <v>2</v>
      </c>
      <c r="AY54" t="s">
        <v>297</v>
      </c>
      <c r="AZ54" t="s">
        <v>298</v>
      </c>
      <c r="BA54" t="s">
        <v>349</v>
      </c>
      <c r="BF54" t="s">
        <v>294</v>
      </c>
      <c r="BG54" t="s">
        <v>300</v>
      </c>
      <c r="BI54" t="s">
        <v>298</v>
      </c>
      <c r="BR54" t="s">
        <v>289</v>
      </c>
      <c r="BS54" t="s">
        <v>301</v>
      </c>
      <c r="BT54" t="s">
        <v>302</v>
      </c>
      <c r="BU54" t="s">
        <v>303</v>
      </c>
      <c r="BV54" t="s">
        <v>365</v>
      </c>
      <c r="BX54" t="s">
        <v>324</v>
      </c>
      <c r="BY54" t="s">
        <v>298</v>
      </c>
      <c r="BZ54" t="s">
        <v>306</v>
      </c>
      <c r="CA54" t="s">
        <v>325</v>
      </c>
      <c r="CC54" t="s">
        <v>308</v>
      </c>
      <c r="CD54" t="s">
        <v>309</v>
      </c>
      <c r="CE54" t="s">
        <v>294</v>
      </c>
      <c r="CH54" t="s">
        <v>304</v>
      </c>
      <c r="CI54" t="s">
        <v>304</v>
      </c>
      <c r="CK54" t="s">
        <v>375</v>
      </c>
      <c r="CL54" t="s">
        <v>328</v>
      </c>
      <c r="CM54" t="s">
        <v>388</v>
      </c>
      <c r="CN54" t="s">
        <v>328</v>
      </c>
      <c r="CO54" t="s">
        <v>312</v>
      </c>
      <c r="CT54" t="s">
        <v>294</v>
      </c>
      <c r="CU54" t="s">
        <v>313</v>
      </c>
      <c r="CV54" t="s">
        <v>314</v>
      </c>
      <c r="CW54" t="s">
        <v>315</v>
      </c>
      <c r="CX54" t="s">
        <v>316</v>
      </c>
      <c r="CZ54" t="s">
        <v>289</v>
      </c>
      <c r="DA54" t="s">
        <v>289</v>
      </c>
      <c r="DB54" t="s">
        <v>289</v>
      </c>
      <c r="DC54" t="s">
        <v>289</v>
      </c>
      <c r="DI54" t="s">
        <v>289</v>
      </c>
      <c r="DL54" t="s">
        <v>289</v>
      </c>
      <c r="DM54" t="s">
        <v>317</v>
      </c>
      <c r="DS54" t="s">
        <v>289</v>
      </c>
      <c r="DT54" t="s">
        <v>289</v>
      </c>
      <c r="DU54" t="s">
        <v>318</v>
      </c>
      <c r="DV54" t="s">
        <v>289</v>
      </c>
      <c r="DX54" t="s">
        <v>368</v>
      </c>
      <c r="DY54" t="s">
        <v>472</v>
      </c>
      <c r="DZ54" t="s">
        <v>473</v>
      </c>
      <c r="EA54" t="s">
        <v>294</v>
      </c>
    </row>
    <row r="55" spans="1:131" x14ac:dyDescent="0.25">
      <c r="A55">
        <v>157532</v>
      </c>
      <c r="B55">
        <v>147685</v>
      </c>
      <c r="C55" t="str">
        <f>"120427503132"</f>
        <v>120427503132</v>
      </c>
      <c r="D55" t="s">
        <v>552</v>
      </c>
      <c r="E55" t="s">
        <v>553</v>
      </c>
      <c r="F55" t="s">
        <v>554</v>
      </c>
      <c r="G55" s="1">
        <v>41026</v>
      </c>
      <c r="I55" t="s">
        <v>353</v>
      </c>
      <c r="J55" t="s">
        <v>287</v>
      </c>
      <c r="K55" t="s">
        <v>288</v>
      </c>
      <c r="Q55" t="s">
        <v>289</v>
      </c>
      <c r="R55" t="str">
        <f>"КАЗАХСТАН, АКМОЛИНСКАЯ, ЗЕРЕНДИНСКИЙ РАЙОН, Зерендинский, Зеренда, 23"</f>
        <v>КАЗАХСТАН, АКМОЛИНСКАЯ, ЗЕРЕНДИНСКИЙ РАЙОН, Зерендинский, Зеренда, 23</v>
      </c>
      <c r="S55" t="str">
        <f>"ҚАЗАҚСТАН, АҚМОЛА, ЗЕРЕНДІ АУДАНЫ, Зерендинский, Зеренда, 23"</f>
        <v>ҚАЗАҚСТАН, АҚМОЛА, ЗЕРЕНДІ АУДАНЫ, Зерендинский, Зеренда, 23</v>
      </c>
      <c r="T55" t="str">
        <f>"Зерендинский, Зеренда, 23"</f>
        <v>Зерендинский, Зеренда, 23</v>
      </c>
      <c r="U55" t="str">
        <f>"Зерендинский, Зеренда, 23"</f>
        <v>Зерендинский, Зеренда, 23</v>
      </c>
      <c r="AC55" t="str">
        <f>"2017-08-22T00:00:00"</f>
        <v>2017-08-22T00:00:00</v>
      </c>
      <c r="AD55" t="str">
        <f>"32"</f>
        <v>32</v>
      </c>
      <c r="AE55" t="str">
        <f>"2024-09-01T22:44:30"</f>
        <v>2024-09-01T22:44:30</v>
      </c>
      <c r="AF55" t="str">
        <f>"2025-05-25T22:44:30"</f>
        <v>2025-05-25T22:44:30</v>
      </c>
      <c r="AG55" t="s">
        <v>290</v>
      </c>
      <c r="AI55" t="s">
        <v>373</v>
      </c>
      <c r="AK55" t="s">
        <v>292</v>
      </c>
      <c r="AP55" t="s">
        <v>342</v>
      </c>
      <c r="AT55" t="s">
        <v>294</v>
      </c>
      <c r="AU55" t="s">
        <v>295</v>
      </c>
      <c r="AW55" t="s">
        <v>296</v>
      </c>
      <c r="AX55">
        <v>2</v>
      </c>
      <c r="AY55" t="s">
        <v>297</v>
      </c>
      <c r="AZ55" t="s">
        <v>298</v>
      </c>
      <c r="BA55" t="s">
        <v>323</v>
      </c>
      <c r="BF55" t="s">
        <v>294</v>
      </c>
      <c r="BG55" t="s">
        <v>300</v>
      </c>
      <c r="BI55" t="s">
        <v>298</v>
      </c>
      <c r="BR55" t="s">
        <v>289</v>
      </c>
      <c r="BS55" t="s">
        <v>301</v>
      </c>
      <c r="BT55" t="s">
        <v>302</v>
      </c>
      <c r="BU55" t="s">
        <v>303</v>
      </c>
      <c r="BV55" t="s">
        <v>304</v>
      </c>
      <c r="BX55" t="s">
        <v>324</v>
      </c>
      <c r="BY55" t="s">
        <v>298</v>
      </c>
      <c r="BZ55" t="s">
        <v>306</v>
      </c>
      <c r="CA55" t="s">
        <v>325</v>
      </c>
      <c r="CC55" t="s">
        <v>308</v>
      </c>
      <c r="CD55" t="s">
        <v>309</v>
      </c>
      <c r="CE55" t="s">
        <v>294</v>
      </c>
      <c r="CH55" t="s">
        <v>304</v>
      </c>
      <c r="CI55" t="s">
        <v>304</v>
      </c>
      <c r="CK55" t="s">
        <v>375</v>
      </c>
      <c r="CL55" t="s">
        <v>328</v>
      </c>
      <c r="CM55" t="s">
        <v>555</v>
      </c>
      <c r="CN55" t="s">
        <v>367</v>
      </c>
      <c r="CO55" t="s">
        <v>312</v>
      </c>
      <c r="CT55" t="s">
        <v>294</v>
      </c>
      <c r="CU55" t="s">
        <v>313</v>
      </c>
      <c r="CV55" t="s">
        <v>314</v>
      </c>
      <c r="CW55" t="s">
        <v>315</v>
      </c>
      <c r="CX55" t="s">
        <v>316</v>
      </c>
      <c r="CZ55" t="s">
        <v>289</v>
      </c>
      <c r="DA55" t="s">
        <v>289</v>
      </c>
      <c r="DB55" t="s">
        <v>289</v>
      </c>
      <c r="DC55" t="s">
        <v>289</v>
      </c>
      <c r="DI55" t="s">
        <v>289</v>
      </c>
      <c r="DL55" t="s">
        <v>289</v>
      </c>
      <c r="DM55" t="s">
        <v>317</v>
      </c>
      <c r="DS55" t="s">
        <v>289</v>
      </c>
      <c r="DT55" t="s">
        <v>289</v>
      </c>
      <c r="DU55" t="s">
        <v>318</v>
      </c>
      <c r="DV55" t="s">
        <v>289</v>
      </c>
      <c r="DX55" t="s">
        <v>319</v>
      </c>
      <c r="EA55" t="s">
        <v>289</v>
      </c>
    </row>
    <row r="56" spans="1:131" x14ac:dyDescent="0.25">
      <c r="A56">
        <v>157552</v>
      </c>
      <c r="B56">
        <v>147702</v>
      </c>
      <c r="C56" t="str">
        <f>"110203601261"</f>
        <v>110203601261</v>
      </c>
      <c r="D56" t="s">
        <v>523</v>
      </c>
      <c r="E56" t="s">
        <v>556</v>
      </c>
      <c r="F56" t="s">
        <v>557</v>
      </c>
      <c r="G56" s="1">
        <v>40577</v>
      </c>
      <c r="I56" t="s">
        <v>286</v>
      </c>
      <c r="J56" t="s">
        <v>287</v>
      </c>
      <c r="K56" t="s">
        <v>288</v>
      </c>
      <c r="Q56" t="s">
        <v>289</v>
      </c>
      <c r="R56" t="str">
        <f>"КАЗАХСТАН, АКМОЛИНСКАЯ, ЗЕРЕНДИНСКИЙ РАЙОН, Малика Габдуллина, Серафимовка, 2, 1"</f>
        <v>КАЗАХСТАН, АКМОЛИНСКАЯ, ЗЕРЕНДИНСКИЙ РАЙОН, Малика Габдуллина, Серафимовка, 2, 1</v>
      </c>
      <c r="S56" t="str">
        <f>"ҚАЗАҚСТАН, АҚМОЛА, ЗЕРЕНДІ АУДАНЫ, Малика Габдуллина, Серафимовка, 2, 1"</f>
        <v>ҚАЗАҚСТАН, АҚМОЛА, ЗЕРЕНДІ АУДАНЫ, Малика Габдуллина, Серафимовка, 2, 1</v>
      </c>
      <c r="T56" t="str">
        <f>"Малика Габдуллина, Серафимовка, 2, 1"</f>
        <v>Малика Габдуллина, Серафимовка, 2, 1</v>
      </c>
      <c r="U56" t="str">
        <f>"Малика Габдуллина, Серафимовка, 2, 1"</f>
        <v>Малика Габдуллина, Серафимовка, 2, 1</v>
      </c>
      <c r="AC56" t="str">
        <f>"2016-09-01T00:00:00"</f>
        <v>2016-09-01T00:00:00</v>
      </c>
      <c r="AD56" t="str">
        <f>"1"</f>
        <v>1</v>
      </c>
      <c r="AE56" t="str">
        <f>"2024-09-01T22:54:36"</f>
        <v>2024-09-01T22:54:36</v>
      </c>
      <c r="AF56" t="str">
        <f>"2025-05-25T22:54:36"</f>
        <v>2025-05-25T22:54:36</v>
      </c>
      <c r="AG56" t="s">
        <v>290</v>
      </c>
      <c r="AH56" t="str">
        <f>"daurenbaiA@mail.ru"</f>
        <v>daurenbaiA@mail.ru</v>
      </c>
      <c r="AI56" t="s">
        <v>558</v>
      </c>
      <c r="AK56" t="s">
        <v>332</v>
      </c>
      <c r="AP56" t="s">
        <v>342</v>
      </c>
      <c r="AT56" t="s">
        <v>294</v>
      </c>
      <c r="AU56" t="s">
        <v>295</v>
      </c>
      <c r="AW56" t="s">
        <v>296</v>
      </c>
      <c r="AX56">
        <v>1</v>
      </c>
      <c r="AY56" t="s">
        <v>297</v>
      </c>
      <c r="AZ56" t="s">
        <v>298</v>
      </c>
      <c r="BA56" t="s">
        <v>349</v>
      </c>
      <c r="BE56" t="str">
        <f>"2020-08-27T10:30:02"</f>
        <v>2020-08-27T10:30:02</v>
      </c>
      <c r="BF56" t="s">
        <v>294</v>
      </c>
      <c r="BG56" t="s">
        <v>300</v>
      </c>
      <c r="BI56" t="s">
        <v>298</v>
      </c>
      <c r="BR56" t="s">
        <v>289</v>
      </c>
      <c r="BS56" t="s">
        <v>301</v>
      </c>
      <c r="BT56" t="s">
        <v>302</v>
      </c>
      <c r="BU56" t="s">
        <v>303</v>
      </c>
      <c r="BV56" t="s">
        <v>304</v>
      </c>
      <c r="BX56" t="s">
        <v>324</v>
      </c>
      <c r="BY56" t="s">
        <v>298</v>
      </c>
      <c r="BZ56" t="s">
        <v>380</v>
      </c>
      <c r="CA56" t="s">
        <v>381</v>
      </c>
      <c r="CC56" t="s">
        <v>308</v>
      </c>
      <c r="CD56" t="s">
        <v>309</v>
      </c>
      <c r="CE56" t="s">
        <v>294</v>
      </c>
      <c r="CH56" t="s">
        <v>304</v>
      </c>
      <c r="CI56" t="s">
        <v>304</v>
      </c>
      <c r="CK56" t="s">
        <v>559</v>
      </c>
      <c r="CL56" t="s">
        <v>311</v>
      </c>
      <c r="CM56" t="s">
        <v>327</v>
      </c>
      <c r="CN56" t="s">
        <v>328</v>
      </c>
      <c r="CO56" t="s">
        <v>312</v>
      </c>
      <c r="CT56" t="s">
        <v>294</v>
      </c>
      <c r="CU56" t="s">
        <v>313</v>
      </c>
      <c r="CV56" t="s">
        <v>314</v>
      </c>
      <c r="CW56" t="s">
        <v>315</v>
      </c>
      <c r="CX56" t="s">
        <v>316</v>
      </c>
      <c r="CZ56" t="s">
        <v>289</v>
      </c>
      <c r="DA56" t="s">
        <v>289</v>
      </c>
      <c r="DB56" t="s">
        <v>289</v>
      </c>
      <c r="DC56" t="s">
        <v>289</v>
      </c>
      <c r="DI56" t="s">
        <v>289</v>
      </c>
      <c r="DL56" t="s">
        <v>289</v>
      </c>
      <c r="DM56" t="s">
        <v>498</v>
      </c>
      <c r="DN56" t="s">
        <v>304</v>
      </c>
      <c r="DS56" t="s">
        <v>289</v>
      </c>
      <c r="DT56" t="s">
        <v>289</v>
      </c>
      <c r="DU56" t="s">
        <v>318</v>
      </c>
      <c r="DV56" t="s">
        <v>289</v>
      </c>
      <c r="DX56" t="s">
        <v>319</v>
      </c>
      <c r="EA56" t="s">
        <v>294</v>
      </c>
    </row>
    <row r="57" spans="1:131" x14ac:dyDescent="0.25">
      <c r="A57">
        <v>157560</v>
      </c>
      <c r="B57">
        <v>147708</v>
      </c>
      <c r="C57" t="str">
        <f>"130121504842"</f>
        <v>130121504842</v>
      </c>
      <c r="D57" t="s">
        <v>560</v>
      </c>
      <c r="E57" t="s">
        <v>561</v>
      </c>
      <c r="G57" s="1">
        <v>41295</v>
      </c>
      <c r="I57" t="s">
        <v>353</v>
      </c>
      <c r="J57" t="s">
        <v>287</v>
      </c>
      <c r="K57" t="s">
        <v>288</v>
      </c>
      <c r="Q57" t="s">
        <v>289</v>
      </c>
      <c r="R57" t="str">
        <f>"КАЗАХСТАН, АКМОЛИНСКАЯ, ЗЕРЕНДИНСКИЙ РАЙОН, ЗЕРЕНДІ, 17, 14"</f>
        <v>КАЗАХСТАН, АКМОЛИНСКАЯ, ЗЕРЕНДИНСКИЙ РАЙОН, ЗЕРЕНДІ, 17, 14</v>
      </c>
      <c r="S57" t="str">
        <f>"ҚАЗАҚСТАН, АҚМОЛА, ЗЕРЕНДІ АУДАНЫ, ЗЕРЕНДІ, 17, 14"</f>
        <v>ҚАЗАҚСТАН, АҚМОЛА, ЗЕРЕНДІ АУДАНЫ, ЗЕРЕНДІ, 17, 14</v>
      </c>
      <c r="T57" t="str">
        <f>"ЗЕРЕНДІ, 17, 14"</f>
        <v>ЗЕРЕНДІ, 17, 14</v>
      </c>
      <c r="U57" t="str">
        <f>"ЗЕРЕНДІ, 17, 14"</f>
        <v>ЗЕРЕНДІ, 17, 14</v>
      </c>
      <c r="AC57" t="str">
        <f>"2018-08-29T00:00:00"</f>
        <v>2018-08-29T00:00:00</v>
      </c>
      <c r="AD57" t="str">
        <f>"61"</f>
        <v>61</v>
      </c>
      <c r="AE57" t="str">
        <f>"2024-09-01T21:25:46"</f>
        <v>2024-09-01T21:25:46</v>
      </c>
      <c r="AF57" t="str">
        <f>"2025-05-25T21:25:46"</f>
        <v>2025-05-25T21:25:46</v>
      </c>
      <c r="AG57" t="s">
        <v>290</v>
      </c>
      <c r="AI57" t="s">
        <v>373</v>
      </c>
      <c r="AK57" t="s">
        <v>465</v>
      </c>
      <c r="AP57" t="s">
        <v>293</v>
      </c>
      <c r="AT57" t="s">
        <v>294</v>
      </c>
      <c r="AU57" t="s">
        <v>295</v>
      </c>
      <c r="AW57" t="s">
        <v>296</v>
      </c>
      <c r="AX57">
        <v>2</v>
      </c>
      <c r="AY57" t="s">
        <v>297</v>
      </c>
      <c r="AZ57" t="s">
        <v>298</v>
      </c>
      <c r="BA57" t="s">
        <v>490</v>
      </c>
      <c r="BF57" t="s">
        <v>294</v>
      </c>
      <c r="BG57" t="s">
        <v>300</v>
      </c>
      <c r="BI57" t="s">
        <v>298</v>
      </c>
      <c r="BR57" t="s">
        <v>289</v>
      </c>
      <c r="BS57" t="s">
        <v>301</v>
      </c>
      <c r="BT57" t="s">
        <v>302</v>
      </c>
      <c r="BU57" t="s">
        <v>303</v>
      </c>
      <c r="BV57" t="s">
        <v>304</v>
      </c>
      <c r="BX57" t="s">
        <v>324</v>
      </c>
      <c r="BY57" t="s">
        <v>298</v>
      </c>
      <c r="BZ57" t="s">
        <v>491</v>
      </c>
      <c r="CA57" t="s">
        <v>511</v>
      </c>
      <c r="CC57" t="s">
        <v>308</v>
      </c>
      <c r="CD57" t="s">
        <v>309</v>
      </c>
      <c r="CE57" t="s">
        <v>294</v>
      </c>
      <c r="CH57" t="s">
        <v>304</v>
      </c>
      <c r="CI57" t="s">
        <v>304</v>
      </c>
      <c r="CK57" t="s">
        <v>335</v>
      </c>
      <c r="CM57" t="s">
        <v>562</v>
      </c>
      <c r="CN57" t="s">
        <v>548</v>
      </c>
      <c r="CO57" t="s">
        <v>312</v>
      </c>
      <c r="CT57" t="s">
        <v>294</v>
      </c>
      <c r="CU57" t="s">
        <v>313</v>
      </c>
      <c r="CV57" t="s">
        <v>314</v>
      </c>
      <c r="CW57" t="s">
        <v>315</v>
      </c>
      <c r="CX57" t="s">
        <v>316</v>
      </c>
      <c r="CZ57" t="s">
        <v>289</v>
      </c>
      <c r="DA57" t="s">
        <v>289</v>
      </c>
      <c r="DB57" t="s">
        <v>289</v>
      </c>
      <c r="DC57" t="s">
        <v>289</v>
      </c>
      <c r="DI57" t="s">
        <v>289</v>
      </c>
      <c r="DL57" t="s">
        <v>289</v>
      </c>
      <c r="DM57" t="s">
        <v>317</v>
      </c>
      <c r="DS57" t="s">
        <v>289</v>
      </c>
      <c r="DT57" t="s">
        <v>294</v>
      </c>
      <c r="DU57" t="s">
        <v>318</v>
      </c>
      <c r="DV57" t="s">
        <v>289</v>
      </c>
      <c r="DX57" t="s">
        <v>319</v>
      </c>
      <c r="EA57" t="s">
        <v>289</v>
      </c>
    </row>
    <row r="58" spans="1:131" x14ac:dyDescent="0.25">
      <c r="A58">
        <v>157578</v>
      </c>
      <c r="B58">
        <v>147723</v>
      </c>
      <c r="C58" t="str">
        <f>"130725601283"</f>
        <v>130725601283</v>
      </c>
      <c r="D58" t="s">
        <v>563</v>
      </c>
      <c r="E58" t="s">
        <v>564</v>
      </c>
      <c r="F58" t="s">
        <v>565</v>
      </c>
      <c r="G58" s="1">
        <v>41480</v>
      </c>
      <c r="I58" t="s">
        <v>286</v>
      </c>
      <c r="J58" t="s">
        <v>287</v>
      </c>
      <c r="K58" t="s">
        <v>288</v>
      </c>
      <c r="Q58" t="s">
        <v>289</v>
      </c>
      <c r="R58" t="str">
        <f>"КАЗАХСТАН, АКМОЛИНСКАЯ, ЗЕРЕНДИНСКИЙ РАЙОН, ЗЕРЕНДІ, 16, 5"</f>
        <v>КАЗАХСТАН, АКМОЛИНСКАЯ, ЗЕРЕНДИНСКИЙ РАЙОН, ЗЕРЕНДІ, 16, 5</v>
      </c>
      <c r="S58" t="str">
        <f>"ҚАЗАҚСТАН, АҚМОЛА, ЗЕРЕНДІ АУДАНЫ, ЗЕРЕНДІ, 16, 5"</f>
        <v>ҚАЗАҚСТАН, АҚМОЛА, ЗЕРЕНДІ АУДАНЫ, ЗЕРЕНДІ, 16, 5</v>
      </c>
      <c r="T58" t="str">
        <f>"ЗЕРЕНДІ, 16, 5"</f>
        <v>ЗЕРЕНДІ, 16, 5</v>
      </c>
      <c r="U58" t="str">
        <f>"ЗЕРЕНДІ, 16, 5"</f>
        <v>ЗЕРЕНДІ, 16, 5</v>
      </c>
      <c r="AC58" t="str">
        <f>"2018-08-29T00:00:00"</f>
        <v>2018-08-29T00:00:00</v>
      </c>
      <c r="AD58" t="str">
        <f>"61"</f>
        <v>61</v>
      </c>
      <c r="AE58" t="str">
        <f>"2024-09-01T21:26:19"</f>
        <v>2024-09-01T21:26:19</v>
      </c>
      <c r="AF58" t="str">
        <f>"2025-05-25T21:26:19"</f>
        <v>2025-05-25T21:26:19</v>
      </c>
      <c r="AG58" t="s">
        <v>290</v>
      </c>
      <c r="AI58" t="s">
        <v>373</v>
      </c>
      <c r="AK58" t="s">
        <v>465</v>
      </c>
      <c r="AP58" t="s">
        <v>342</v>
      </c>
      <c r="AT58" t="s">
        <v>294</v>
      </c>
      <c r="AU58" t="s">
        <v>295</v>
      </c>
      <c r="AW58" t="s">
        <v>296</v>
      </c>
      <c r="AX58">
        <v>2</v>
      </c>
      <c r="AY58" t="s">
        <v>297</v>
      </c>
      <c r="AZ58" t="s">
        <v>298</v>
      </c>
      <c r="BA58" t="s">
        <v>349</v>
      </c>
      <c r="BF58" t="s">
        <v>294</v>
      </c>
      <c r="BG58" t="s">
        <v>300</v>
      </c>
      <c r="BI58" t="s">
        <v>298</v>
      </c>
      <c r="BR58" t="s">
        <v>289</v>
      </c>
      <c r="BS58" t="s">
        <v>301</v>
      </c>
      <c r="BT58" t="s">
        <v>302</v>
      </c>
      <c r="BU58" t="s">
        <v>303</v>
      </c>
      <c r="BV58" t="s">
        <v>304</v>
      </c>
      <c r="BX58" t="s">
        <v>324</v>
      </c>
      <c r="BY58" t="s">
        <v>298</v>
      </c>
      <c r="BZ58" t="s">
        <v>306</v>
      </c>
      <c r="CA58" t="s">
        <v>325</v>
      </c>
      <c r="CC58" t="s">
        <v>308</v>
      </c>
      <c r="CD58" t="s">
        <v>309</v>
      </c>
      <c r="CE58" t="s">
        <v>294</v>
      </c>
      <c r="CH58" t="s">
        <v>304</v>
      </c>
      <c r="CI58" t="s">
        <v>304</v>
      </c>
      <c r="CK58" t="s">
        <v>335</v>
      </c>
      <c r="CM58" t="s">
        <v>327</v>
      </c>
      <c r="CN58" t="s">
        <v>328</v>
      </c>
      <c r="CO58" t="s">
        <v>312</v>
      </c>
      <c r="CT58" t="s">
        <v>294</v>
      </c>
      <c r="CU58" t="s">
        <v>313</v>
      </c>
      <c r="CV58" t="s">
        <v>314</v>
      </c>
      <c r="CW58" t="s">
        <v>315</v>
      </c>
      <c r="CX58" t="s">
        <v>316</v>
      </c>
      <c r="CZ58" t="s">
        <v>289</v>
      </c>
      <c r="DA58" t="s">
        <v>289</v>
      </c>
      <c r="DB58" t="s">
        <v>289</v>
      </c>
      <c r="DC58" t="s">
        <v>289</v>
      </c>
      <c r="DI58" t="s">
        <v>289</v>
      </c>
      <c r="DL58" t="s">
        <v>289</v>
      </c>
      <c r="DM58" t="s">
        <v>317</v>
      </c>
      <c r="DS58" t="s">
        <v>289</v>
      </c>
      <c r="DT58" t="s">
        <v>289</v>
      </c>
      <c r="DU58" t="s">
        <v>318</v>
      </c>
      <c r="DV58" t="s">
        <v>289</v>
      </c>
      <c r="DX58" t="s">
        <v>319</v>
      </c>
      <c r="EA58" t="s">
        <v>289</v>
      </c>
    </row>
    <row r="59" spans="1:131" x14ac:dyDescent="0.25">
      <c r="A59">
        <v>157584</v>
      </c>
      <c r="B59">
        <v>147727</v>
      </c>
      <c r="C59" t="str">
        <f>"130225602719"</f>
        <v>130225602719</v>
      </c>
      <c r="D59" t="s">
        <v>566</v>
      </c>
      <c r="E59" t="s">
        <v>567</v>
      </c>
      <c r="F59" t="s">
        <v>568</v>
      </c>
      <c r="G59" s="1">
        <v>41330</v>
      </c>
      <c r="I59" t="s">
        <v>286</v>
      </c>
      <c r="J59" t="s">
        <v>287</v>
      </c>
      <c r="K59" t="s">
        <v>288</v>
      </c>
      <c r="Q59" t="s">
        <v>289</v>
      </c>
      <c r="R59" t="str">
        <f>"КАЗАХСТАН, АКМОЛИНСКАЯ, ЗЕРЕНДИНСКИЙ РАЙОН, Зерендинский, Зеренда, 16, 6"</f>
        <v>КАЗАХСТАН, АКМОЛИНСКАЯ, ЗЕРЕНДИНСКИЙ РАЙОН, Зерендинский, Зеренда, 16, 6</v>
      </c>
      <c r="S59" t="str">
        <f>"ҚАЗАҚСТАН, АҚМОЛА, ЗЕРЕНДІ АУДАНЫ, Зерендинский, Зеренда, 16, 6"</f>
        <v>ҚАЗАҚСТАН, АҚМОЛА, ЗЕРЕНДІ АУДАНЫ, Зерендинский, Зеренда, 16, 6</v>
      </c>
      <c r="T59" t="str">
        <f>"Зерендинский, Зеренда, 16, 6"</f>
        <v>Зерендинский, Зеренда, 16, 6</v>
      </c>
      <c r="U59" t="str">
        <f>"Зерендинский, Зеренда, 16, 6"</f>
        <v>Зерендинский, Зеренда, 16, 6</v>
      </c>
      <c r="AC59" t="str">
        <f>"2018-08-29T00:00:00"</f>
        <v>2018-08-29T00:00:00</v>
      </c>
      <c r="AD59" t="str">
        <f>"61"</f>
        <v>61</v>
      </c>
      <c r="AE59" t="str">
        <f>"2024-09-01T21:27:00"</f>
        <v>2024-09-01T21:27:00</v>
      </c>
      <c r="AF59" t="str">
        <f>"2025-05-25T21:27:00"</f>
        <v>2025-05-25T21:27:00</v>
      </c>
      <c r="AG59" t="s">
        <v>290</v>
      </c>
      <c r="AI59" t="s">
        <v>373</v>
      </c>
      <c r="AK59" t="s">
        <v>465</v>
      </c>
      <c r="AP59" t="s">
        <v>293</v>
      </c>
      <c r="AT59" t="s">
        <v>294</v>
      </c>
      <c r="AU59" t="s">
        <v>295</v>
      </c>
      <c r="AW59" t="s">
        <v>296</v>
      </c>
      <c r="AX59">
        <v>2</v>
      </c>
      <c r="AY59" t="s">
        <v>297</v>
      </c>
      <c r="AZ59" t="s">
        <v>298</v>
      </c>
      <c r="BA59" t="s">
        <v>349</v>
      </c>
      <c r="BF59" t="s">
        <v>294</v>
      </c>
      <c r="BG59" t="s">
        <v>300</v>
      </c>
      <c r="BI59" t="s">
        <v>298</v>
      </c>
      <c r="BR59" t="s">
        <v>289</v>
      </c>
      <c r="BS59" t="s">
        <v>301</v>
      </c>
      <c r="BT59" t="s">
        <v>302</v>
      </c>
      <c r="BU59" t="s">
        <v>303</v>
      </c>
      <c r="BV59" t="s">
        <v>304</v>
      </c>
      <c r="BX59" t="s">
        <v>324</v>
      </c>
      <c r="BY59" t="s">
        <v>298</v>
      </c>
      <c r="BZ59" t="s">
        <v>491</v>
      </c>
      <c r="CA59" t="s">
        <v>511</v>
      </c>
      <c r="CC59" t="s">
        <v>308</v>
      </c>
      <c r="CD59" t="s">
        <v>309</v>
      </c>
      <c r="CE59" t="s">
        <v>294</v>
      </c>
      <c r="CH59" t="s">
        <v>304</v>
      </c>
      <c r="CI59" t="s">
        <v>304</v>
      </c>
      <c r="CK59" t="s">
        <v>335</v>
      </c>
      <c r="CM59" t="s">
        <v>327</v>
      </c>
      <c r="CN59" t="s">
        <v>328</v>
      </c>
      <c r="CO59" t="s">
        <v>312</v>
      </c>
      <c r="CT59" t="s">
        <v>294</v>
      </c>
      <c r="CU59" t="s">
        <v>313</v>
      </c>
      <c r="CV59" t="s">
        <v>314</v>
      </c>
      <c r="CW59" t="s">
        <v>315</v>
      </c>
      <c r="CX59" t="s">
        <v>316</v>
      </c>
      <c r="CZ59" t="s">
        <v>289</v>
      </c>
      <c r="DA59" t="s">
        <v>289</v>
      </c>
      <c r="DB59" t="s">
        <v>289</v>
      </c>
      <c r="DC59" t="s">
        <v>289</v>
      </c>
      <c r="DI59" t="s">
        <v>289</v>
      </c>
      <c r="DL59" t="s">
        <v>289</v>
      </c>
      <c r="DM59" t="s">
        <v>317</v>
      </c>
      <c r="DS59" t="s">
        <v>289</v>
      </c>
      <c r="DT59" t="s">
        <v>289</v>
      </c>
      <c r="DU59" t="s">
        <v>318</v>
      </c>
      <c r="DV59" t="s">
        <v>289</v>
      </c>
      <c r="DX59" t="s">
        <v>319</v>
      </c>
      <c r="EA59" t="s">
        <v>289</v>
      </c>
    </row>
    <row r="60" spans="1:131" x14ac:dyDescent="0.25">
      <c r="A60">
        <v>157607</v>
      </c>
      <c r="B60">
        <v>147746</v>
      </c>
      <c r="C60" t="str">
        <f>"111101602238"</f>
        <v>111101602238</v>
      </c>
      <c r="D60" t="s">
        <v>569</v>
      </c>
      <c r="E60" t="s">
        <v>570</v>
      </c>
      <c r="F60" t="s">
        <v>571</v>
      </c>
      <c r="G60" s="1">
        <v>40848</v>
      </c>
      <c r="I60" t="s">
        <v>286</v>
      </c>
      <c r="J60" t="s">
        <v>287</v>
      </c>
      <c r="K60" t="s">
        <v>288</v>
      </c>
      <c r="Q60" t="s">
        <v>289</v>
      </c>
      <c r="R60" t="str">
        <f>"КАЗАХСТАН, АКМОЛИНСКАЯ, ЗЕРЕНДИНСКИЙ РАЙОН, Зерендинский, Зеренда, 26"</f>
        <v>КАЗАХСТАН, АКМОЛИНСКАЯ, ЗЕРЕНДИНСКИЙ РАЙОН, Зерендинский, Зеренда, 26</v>
      </c>
      <c r="S60" t="str">
        <f>"ҚАЗАҚСТАН, АҚМОЛА, ЗЕРЕНДІ АУДАНЫ, Зерендинский, Зеренда, 26"</f>
        <v>ҚАЗАҚСТАН, АҚМОЛА, ЗЕРЕНДІ АУДАНЫ, Зерендинский, Зеренда, 26</v>
      </c>
      <c r="T60" t="str">
        <f>"Зерендинский, Зеренда, 26"</f>
        <v>Зерендинский, Зеренда, 26</v>
      </c>
      <c r="U60" t="str">
        <f>"Зерендинский, Зеренда, 26"</f>
        <v>Зерендинский, Зеренда, 26</v>
      </c>
      <c r="AC60" t="str">
        <f>"2017-08-25T00:00:00"</f>
        <v>2017-08-25T00:00:00</v>
      </c>
      <c r="AD60" t="str">
        <f>"35"</f>
        <v>35</v>
      </c>
      <c r="AE60" t="str">
        <f>"2024-09-01T22:44:41"</f>
        <v>2024-09-01T22:44:41</v>
      </c>
      <c r="AF60" t="str">
        <f>"2025-05-25T22:44:41"</f>
        <v>2025-05-25T22:44:41</v>
      </c>
      <c r="AG60" t="s">
        <v>290</v>
      </c>
      <c r="AI60" t="s">
        <v>373</v>
      </c>
      <c r="AK60" t="s">
        <v>292</v>
      </c>
      <c r="AP60" t="s">
        <v>293</v>
      </c>
      <c r="AT60" t="s">
        <v>294</v>
      </c>
      <c r="AU60" t="s">
        <v>295</v>
      </c>
      <c r="AW60" t="s">
        <v>296</v>
      </c>
      <c r="AX60">
        <v>2</v>
      </c>
      <c r="AY60" t="s">
        <v>297</v>
      </c>
      <c r="AZ60" t="s">
        <v>298</v>
      </c>
      <c r="BA60" t="s">
        <v>349</v>
      </c>
      <c r="BF60" t="s">
        <v>294</v>
      </c>
      <c r="BG60" t="s">
        <v>300</v>
      </c>
      <c r="BI60" t="s">
        <v>298</v>
      </c>
      <c r="BR60" t="s">
        <v>289</v>
      </c>
      <c r="BS60" t="s">
        <v>301</v>
      </c>
      <c r="BT60" t="s">
        <v>302</v>
      </c>
      <c r="BU60" t="s">
        <v>303</v>
      </c>
      <c r="BV60" t="s">
        <v>304</v>
      </c>
      <c r="BX60" t="s">
        <v>324</v>
      </c>
      <c r="BY60" t="s">
        <v>298</v>
      </c>
      <c r="BZ60" t="s">
        <v>306</v>
      </c>
      <c r="CA60" t="s">
        <v>325</v>
      </c>
      <c r="CC60" t="s">
        <v>308</v>
      </c>
      <c r="CD60" t="s">
        <v>309</v>
      </c>
      <c r="CE60" t="s">
        <v>294</v>
      </c>
      <c r="CH60" t="s">
        <v>304</v>
      </c>
      <c r="CI60" t="s">
        <v>304</v>
      </c>
      <c r="CK60" t="s">
        <v>326</v>
      </c>
      <c r="CL60" t="s">
        <v>311</v>
      </c>
      <c r="CM60" t="s">
        <v>298</v>
      </c>
      <c r="CO60" t="s">
        <v>312</v>
      </c>
      <c r="CT60" t="s">
        <v>294</v>
      </c>
      <c r="CU60" t="s">
        <v>313</v>
      </c>
      <c r="CV60" t="s">
        <v>314</v>
      </c>
      <c r="CW60" t="s">
        <v>315</v>
      </c>
      <c r="CX60" t="s">
        <v>316</v>
      </c>
      <c r="CZ60" t="s">
        <v>289</v>
      </c>
      <c r="DA60" t="s">
        <v>289</v>
      </c>
      <c r="DB60" t="s">
        <v>289</v>
      </c>
      <c r="DC60" t="s">
        <v>289</v>
      </c>
      <c r="DI60" t="s">
        <v>289</v>
      </c>
      <c r="DL60" t="s">
        <v>289</v>
      </c>
      <c r="DM60" t="s">
        <v>317</v>
      </c>
      <c r="DS60" t="s">
        <v>289</v>
      </c>
      <c r="DT60" t="s">
        <v>294</v>
      </c>
      <c r="DU60" t="s">
        <v>318</v>
      </c>
      <c r="DV60" t="s">
        <v>289</v>
      </c>
      <c r="DX60" t="s">
        <v>319</v>
      </c>
      <c r="EA60" t="s">
        <v>289</v>
      </c>
    </row>
    <row r="61" spans="1:131" x14ac:dyDescent="0.25">
      <c r="A61">
        <v>157615</v>
      </c>
      <c r="B61">
        <v>147752</v>
      </c>
      <c r="C61" t="str">
        <f>"120714600095"</f>
        <v>120714600095</v>
      </c>
      <c r="D61" t="s">
        <v>572</v>
      </c>
      <c r="E61" t="s">
        <v>478</v>
      </c>
      <c r="F61" t="s">
        <v>341</v>
      </c>
      <c r="G61" s="1">
        <v>41104</v>
      </c>
      <c r="I61" t="s">
        <v>286</v>
      </c>
      <c r="J61" t="s">
        <v>287</v>
      </c>
      <c r="K61" t="s">
        <v>288</v>
      </c>
      <c r="Q61" t="s">
        <v>289</v>
      </c>
      <c r="R61" t="str">
        <f>"КАЗАХСТАН, АКМОЛИНСКАЯ, ЗЕРЕНДИНСКИЙ РАЙОН, Зерендинский, Зеренда, 40, 2"</f>
        <v>КАЗАХСТАН, АКМОЛИНСКАЯ, ЗЕРЕНДИНСКИЙ РАЙОН, Зерендинский, Зеренда, 40, 2</v>
      </c>
      <c r="S61" t="str">
        <f>"ҚАЗАҚСТАН, АҚМОЛА, ЗЕРЕНДІ АУДАНЫ, Зерендинский, Зеренда, 40, 2"</f>
        <v>ҚАЗАҚСТАН, АҚМОЛА, ЗЕРЕНДІ АУДАНЫ, Зерендинский, Зеренда, 40, 2</v>
      </c>
      <c r="T61" t="str">
        <f>"Зерендинский, Зеренда, 40, 2"</f>
        <v>Зерендинский, Зеренда, 40, 2</v>
      </c>
      <c r="U61" t="str">
        <f>"Зерендинский, Зеренда, 40, 2"</f>
        <v>Зерендинский, Зеренда, 40, 2</v>
      </c>
      <c r="AC61" t="str">
        <f>"2018-08-29T00:00:00"</f>
        <v>2018-08-29T00:00:00</v>
      </c>
      <c r="AD61" t="str">
        <f>"61"</f>
        <v>61</v>
      </c>
      <c r="AE61" t="str">
        <f>"2024-09-01T21:27:35"</f>
        <v>2024-09-01T21:27:35</v>
      </c>
      <c r="AF61" t="str">
        <f>"2025-05-25T21:27:35"</f>
        <v>2025-05-25T21:27:35</v>
      </c>
      <c r="AG61" t="s">
        <v>290</v>
      </c>
      <c r="AI61" t="s">
        <v>558</v>
      </c>
      <c r="AK61" t="s">
        <v>465</v>
      </c>
      <c r="AP61" t="s">
        <v>293</v>
      </c>
      <c r="AT61" t="s">
        <v>294</v>
      </c>
      <c r="AU61" t="s">
        <v>295</v>
      </c>
      <c r="AW61" t="s">
        <v>296</v>
      </c>
      <c r="AX61">
        <v>2</v>
      </c>
      <c r="AY61" t="s">
        <v>297</v>
      </c>
      <c r="AZ61" t="s">
        <v>298</v>
      </c>
      <c r="BA61" t="s">
        <v>349</v>
      </c>
      <c r="BF61" t="s">
        <v>294</v>
      </c>
      <c r="BG61" t="s">
        <v>300</v>
      </c>
      <c r="BI61" t="s">
        <v>298</v>
      </c>
      <c r="BR61" t="s">
        <v>289</v>
      </c>
      <c r="BS61" t="s">
        <v>301</v>
      </c>
      <c r="BT61" t="s">
        <v>302</v>
      </c>
      <c r="BU61" t="s">
        <v>303</v>
      </c>
      <c r="BV61" t="s">
        <v>304</v>
      </c>
      <c r="BX61" t="s">
        <v>324</v>
      </c>
      <c r="BY61" t="s">
        <v>298</v>
      </c>
      <c r="BZ61" t="s">
        <v>491</v>
      </c>
      <c r="CA61" t="s">
        <v>511</v>
      </c>
      <c r="CC61" t="s">
        <v>308</v>
      </c>
      <c r="CD61" t="s">
        <v>309</v>
      </c>
      <c r="CE61" t="s">
        <v>294</v>
      </c>
      <c r="CH61" t="s">
        <v>304</v>
      </c>
      <c r="CI61" t="s">
        <v>304</v>
      </c>
      <c r="CK61" t="s">
        <v>335</v>
      </c>
      <c r="CM61" t="s">
        <v>327</v>
      </c>
      <c r="CN61" t="s">
        <v>328</v>
      </c>
      <c r="CO61" t="s">
        <v>312</v>
      </c>
      <c r="CT61" t="s">
        <v>294</v>
      </c>
      <c r="CU61" t="s">
        <v>313</v>
      </c>
      <c r="CV61" t="s">
        <v>314</v>
      </c>
      <c r="CW61" t="s">
        <v>315</v>
      </c>
      <c r="CX61" t="s">
        <v>316</v>
      </c>
      <c r="CZ61" t="s">
        <v>289</v>
      </c>
      <c r="DA61" t="s">
        <v>289</v>
      </c>
      <c r="DB61" t="s">
        <v>289</v>
      </c>
      <c r="DC61" t="s">
        <v>289</v>
      </c>
      <c r="DI61" t="s">
        <v>289</v>
      </c>
      <c r="DL61" t="s">
        <v>289</v>
      </c>
      <c r="DM61" t="s">
        <v>317</v>
      </c>
      <c r="DS61" t="s">
        <v>289</v>
      </c>
      <c r="DT61" t="s">
        <v>289</v>
      </c>
      <c r="DU61" t="s">
        <v>318</v>
      </c>
      <c r="DV61" t="s">
        <v>289</v>
      </c>
      <c r="DX61" t="s">
        <v>319</v>
      </c>
      <c r="EA61" t="s">
        <v>289</v>
      </c>
    </row>
    <row r="62" spans="1:131" x14ac:dyDescent="0.25">
      <c r="A62">
        <v>157621</v>
      </c>
      <c r="B62">
        <v>147757</v>
      </c>
      <c r="C62" t="str">
        <f>"121220600528"</f>
        <v>121220600528</v>
      </c>
      <c r="D62" t="s">
        <v>573</v>
      </c>
      <c r="E62" t="s">
        <v>574</v>
      </c>
      <c r="F62" t="s">
        <v>575</v>
      </c>
      <c r="G62" s="1">
        <v>41263</v>
      </c>
      <c r="I62" t="s">
        <v>286</v>
      </c>
      <c r="J62" t="s">
        <v>287</v>
      </c>
      <c r="K62" t="s">
        <v>288</v>
      </c>
      <c r="Q62" t="s">
        <v>289</v>
      </c>
      <c r="R62" t="str">
        <f>"КАЗАХСТАН, АКМОЛИНСКАЯ, ЗЕРЕНДИНСКИЙ РАЙОН, Зерендинский, Зеренда, 34"</f>
        <v>КАЗАХСТАН, АКМОЛИНСКАЯ, ЗЕРЕНДИНСКИЙ РАЙОН, Зерендинский, Зеренда, 34</v>
      </c>
      <c r="S62" t="str">
        <f>"ҚАЗАҚСТАН, АҚМОЛА, ЗЕРЕНДІ АУДАНЫ, Зерендинский, Зеренда, 34"</f>
        <v>ҚАЗАҚСТАН, АҚМОЛА, ЗЕРЕНДІ АУДАНЫ, Зерендинский, Зеренда, 34</v>
      </c>
      <c r="T62" t="str">
        <f>"Зерендинский, Зеренда, 34"</f>
        <v>Зерендинский, Зеренда, 34</v>
      </c>
      <c r="U62" t="str">
        <f>"Зерендинский, Зеренда, 34"</f>
        <v>Зерендинский, Зеренда, 34</v>
      </c>
      <c r="AC62" t="str">
        <f>"2018-08-29T00:00:00"</f>
        <v>2018-08-29T00:00:00</v>
      </c>
      <c r="AD62" t="str">
        <f>"61"</f>
        <v>61</v>
      </c>
      <c r="AE62" t="str">
        <f>"2024-09-01T21:27:59"</f>
        <v>2024-09-01T21:27:59</v>
      </c>
      <c r="AF62" t="str">
        <f>"2025-05-25T21:27:59"</f>
        <v>2025-05-25T21:27:59</v>
      </c>
      <c r="AG62" t="s">
        <v>290</v>
      </c>
      <c r="AI62" t="s">
        <v>373</v>
      </c>
      <c r="AK62" t="s">
        <v>465</v>
      </c>
      <c r="AP62" t="s">
        <v>293</v>
      </c>
      <c r="AT62" t="s">
        <v>294</v>
      </c>
      <c r="AU62" t="s">
        <v>295</v>
      </c>
      <c r="AW62" t="s">
        <v>296</v>
      </c>
      <c r="AX62">
        <v>2</v>
      </c>
      <c r="AY62" t="s">
        <v>297</v>
      </c>
      <c r="AZ62" t="s">
        <v>298</v>
      </c>
      <c r="BA62" t="s">
        <v>323</v>
      </c>
      <c r="BF62" t="s">
        <v>294</v>
      </c>
      <c r="BG62" t="s">
        <v>300</v>
      </c>
      <c r="BI62" t="s">
        <v>298</v>
      </c>
      <c r="BR62" t="s">
        <v>289</v>
      </c>
      <c r="BS62" t="s">
        <v>301</v>
      </c>
      <c r="BT62" t="s">
        <v>302</v>
      </c>
      <c r="BU62" t="s">
        <v>303</v>
      </c>
      <c r="BV62" t="s">
        <v>304</v>
      </c>
      <c r="BX62" t="s">
        <v>305</v>
      </c>
      <c r="BY62" t="s">
        <v>298</v>
      </c>
      <c r="BZ62" t="s">
        <v>306</v>
      </c>
      <c r="CA62" t="s">
        <v>466</v>
      </c>
      <c r="CC62" t="s">
        <v>308</v>
      </c>
      <c r="CD62" t="s">
        <v>309</v>
      </c>
      <c r="CE62" t="s">
        <v>294</v>
      </c>
      <c r="CH62" t="s">
        <v>304</v>
      </c>
      <c r="CI62" t="s">
        <v>304</v>
      </c>
      <c r="CK62" t="s">
        <v>467</v>
      </c>
      <c r="CL62" t="s">
        <v>328</v>
      </c>
      <c r="CM62" t="s">
        <v>298</v>
      </c>
      <c r="CO62" t="s">
        <v>312</v>
      </c>
      <c r="CT62" t="s">
        <v>294</v>
      </c>
      <c r="CU62" t="s">
        <v>313</v>
      </c>
      <c r="CV62" t="s">
        <v>314</v>
      </c>
      <c r="CW62" t="s">
        <v>315</v>
      </c>
      <c r="CX62" t="s">
        <v>316</v>
      </c>
      <c r="CZ62" t="s">
        <v>289</v>
      </c>
      <c r="DA62" t="s">
        <v>289</v>
      </c>
      <c r="DB62" t="s">
        <v>289</v>
      </c>
      <c r="DC62" t="s">
        <v>289</v>
      </c>
      <c r="DI62" t="s">
        <v>289</v>
      </c>
      <c r="DL62" t="s">
        <v>289</v>
      </c>
      <c r="DM62" t="s">
        <v>317</v>
      </c>
      <c r="DS62" t="s">
        <v>289</v>
      </c>
      <c r="DT62" t="s">
        <v>289</v>
      </c>
      <c r="DU62" t="s">
        <v>318</v>
      </c>
      <c r="DV62" t="s">
        <v>289</v>
      </c>
      <c r="DX62" t="s">
        <v>319</v>
      </c>
      <c r="EA62" t="s">
        <v>294</v>
      </c>
    </row>
    <row r="63" spans="1:131" x14ac:dyDescent="0.25">
      <c r="A63">
        <v>157632</v>
      </c>
      <c r="B63">
        <v>147768</v>
      </c>
      <c r="C63" t="str">
        <f>"121102502328"</f>
        <v>121102502328</v>
      </c>
      <c r="D63" t="s">
        <v>576</v>
      </c>
      <c r="E63" t="s">
        <v>577</v>
      </c>
      <c r="F63" t="s">
        <v>578</v>
      </c>
      <c r="G63" s="1">
        <v>41215</v>
      </c>
      <c r="I63" t="s">
        <v>353</v>
      </c>
      <c r="J63" t="s">
        <v>287</v>
      </c>
      <c r="K63" t="s">
        <v>288</v>
      </c>
      <c r="Q63" t="s">
        <v>289</v>
      </c>
      <c r="R63" t="str">
        <f>"КАЗАХСТАН, АКМОЛИНСКАЯ, ЗЕРЕНДИНСКИЙ РАЙОН, ЗЕРЕНДІ, 6, 2"</f>
        <v>КАЗАХСТАН, АКМОЛИНСКАЯ, ЗЕРЕНДИНСКИЙ РАЙОН, ЗЕРЕНДІ, 6, 2</v>
      </c>
      <c r="S63" t="str">
        <f>"ҚАЗАҚСТАН, АҚМОЛА, ЗЕРЕНДІ АУДАНЫ, ЗЕРЕНДІ, 6, 2"</f>
        <v>ҚАЗАҚСТАН, АҚМОЛА, ЗЕРЕНДІ АУДАНЫ, ЗЕРЕНДІ, 6, 2</v>
      </c>
      <c r="T63" t="str">
        <f>"ЗЕРЕНДІ, 6, 2"</f>
        <v>ЗЕРЕНДІ, 6, 2</v>
      </c>
      <c r="U63" t="str">
        <f>"ЗЕРЕНДІ, 6, 2"</f>
        <v>ЗЕРЕНДІ, 6, 2</v>
      </c>
      <c r="AC63" t="str">
        <f>"2018-08-29T00:00:00"</f>
        <v>2018-08-29T00:00:00</v>
      </c>
      <c r="AD63" t="str">
        <f>"61"</f>
        <v>61</v>
      </c>
      <c r="AE63" t="str">
        <f>"2024-09-01T21:29:09"</f>
        <v>2024-09-01T21:29:09</v>
      </c>
      <c r="AF63" t="str">
        <f>"2025-05-25T21:29:09"</f>
        <v>2025-05-25T21:29:09</v>
      </c>
      <c r="AG63" t="s">
        <v>290</v>
      </c>
      <c r="AI63" t="s">
        <v>373</v>
      </c>
      <c r="AK63" t="s">
        <v>465</v>
      </c>
      <c r="AP63" t="s">
        <v>293</v>
      </c>
      <c r="AT63" t="s">
        <v>294</v>
      </c>
      <c r="AU63" t="s">
        <v>295</v>
      </c>
      <c r="AW63" t="s">
        <v>296</v>
      </c>
      <c r="AX63">
        <v>2</v>
      </c>
      <c r="AY63" t="s">
        <v>297</v>
      </c>
      <c r="AZ63" t="s">
        <v>298</v>
      </c>
      <c r="BA63" t="s">
        <v>323</v>
      </c>
      <c r="BF63" t="s">
        <v>294</v>
      </c>
      <c r="BG63" t="s">
        <v>300</v>
      </c>
      <c r="BI63" t="s">
        <v>298</v>
      </c>
      <c r="BR63" t="s">
        <v>289</v>
      </c>
      <c r="BS63" t="s">
        <v>301</v>
      </c>
      <c r="BT63" t="s">
        <v>302</v>
      </c>
      <c r="BU63" t="s">
        <v>303</v>
      </c>
      <c r="BV63" t="s">
        <v>304</v>
      </c>
      <c r="BX63" t="s">
        <v>324</v>
      </c>
      <c r="BY63" t="s">
        <v>298</v>
      </c>
      <c r="BZ63" t="s">
        <v>491</v>
      </c>
      <c r="CA63" t="s">
        <v>511</v>
      </c>
      <c r="CC63" t="s">
        <v>308</v>
      </c>
      <c r="CD63" t="s">
        <v>309</v>
      </c>
      <c r="CE63" t="s">
        <v>294</v>
      </c>
      <c r="CH63" t="s">
        <v>304</v>
      </c>
      <c r="CI63" t="s">
        <v>304</v>
      </c>
      <c r="CK63" t="s">
        <v>467</v>
      </c>
      <c r="CL63" t="s">
        <v>328</v>
      </c>
      <c r="CM63" t="s">
        <v>298</v>
      </c>
      <c r="CO63" t="s">
        <v>312</v>
      </c>
      <c r="CT63" t="s">
        <v>294</v>
      </c>
      <c r="CU63" t="s">
        <v>313</v>
      </c>
      <c r="CV63" t="s">
        <v>314</v>
      </c>
      <c r="CW63" t="s">
        <v>315</v>
      </c>
      <c r="CX63" t="s">
        <v>316</v>
      </c>
      <c r="CZ63" t="s">
        <v>289</v>
      </c>
      <c r="DA63" t="s">
        <v>289</v>
      </c>
      <c r="DB63" t="s">
        <v>289</v>
      </c>
      <c r="DC63" t="s">
        <v>289</v>
      </c>
      <c r="DI63" t="s">
        <v>289</v>
      </c>
      <c r="DL63" t="s">
        <v>289</v>
      </c>
      <c r="DM63" t="s">
        <v>317</v>
      </c>
      <c r="DS63" t="s">
        <v>289</v>
      </c>
      <c r="DT63" t="s">
        <v>289</v>
      </c>
      <c r="DU63" t="s">
        <v>318</v>
      </c>
      <c r="DV63" t="s">
        <v>289</v>
      </c>
      <c r="DX63" t="s">
        <v>319</v>
      </c>
      <c r="EA63" t="s">
        <v>294</v>
      </c>
    </row>
    <row r="64" spans="1:131" x14ac:dyDescent="0.25">
      <c r="A64">
        <v>157653</v>
      </c>
      <c r="B64">
        <v>147787</v>
      </c>
      <c r="C64" t="str">
        <f>"091112651319"</f>
        <v>091112651319</v>
      </c>
      <c r="D64" t="s">
        <v>553</v>
      </c>
      <c r="E64" t="s">
        <v>330</v>
      </c>
      <c r="F64" t="s">
        <v>579</v>
      </c>
      <c r="G64" s="1">
        <v>40129</v>
      </c>
      <c r="I64" t="s">
        <v>286</v>
      </c>
      <c r="J64" t="s">
        <v>287</v>
      </c>
      <c r="K64" t="s">
        <v>288</v>
      </c>
      <c r="Q64" t="s">
        <v>289</v>
      </c>
      <c r="R64" t="str">
        <f>"КАЗАХСТАН, АКМОЛИНСКАЯ, ЗЕРЕНДИНСКИЙ РАЙОН, Малика Габдуллина, Койсалган, 1"</f>
        <v>КАЗАХСТАН, АКМОЛИНСКАЯ, ЗЕРЕНДИНСКИЙ РАЙОН, Малика Габдуллина, Койсалган, 1</v>
      </c>
      <c r="S64" t="str">
        <f>"ҚАЗАҚСТАН, АҚМОЛА, ЗЕРЕНДІ АУДАНЫ, Малика Габдуллина, Койсалган, 1"</f>
        <v>ҚАЗАҚСТАН, АҚМОЛА, ЗЕРЕНДІ АУДАНЫ, Малика Габдуллина, Койсалган, 1</v>
      </c>
      <c r="T64" t="str">
        <f>"Малика Габдуллина, Койсалган, 1"</f>
        <v>Малика Габдуллина, Койсалган, 1</v>
      </c>
      <c r="U64" t="str">
        <f>"Малика Габдуллина, Койсалган, 1"</f>
        <v>Малика Габдуллина, Койсалган, 1</v>
      </c>
      <c r="AC64" t="str">
        <f>"2016-09-01T00:00:00"</f>
        <v>2016-09-01T00:00:00</v>
      </c>
      <c r="AD64" t="str">
        <f>"62"</f>
        <v>62</v>
      </c>
      <c r="AE64" t="str">
        <f>"2024-09-01T18:37:33"</f>
        <v>2024-09-01T18:37:33</v>
      </c>
      <c r="AF64" t="str">
        <f>"2025-05-25T18:37:33"</f>
        <v>2025-05-25T18:37:33</v>
      </c>
      <c r="AG64" t="s">
        <v>290</v>
      </c>
      <c r="AH64" t="str">
        <f>"Alisha@mail.ru"</f>
        <v>Alisha@mail.ru</v>
      </c>
      <c r="AI64" t="s">
        <v>476</v>
      </c>
      <c r="AK64" t="s">
        <v>402</v>
      </c>
      <c r="AP64" t="s">
        <v>342</v>
      </c>
      <c r="AT64" t="s">
        <v>294</v>
      </c>
      <c r="AU64" t="s">
        <v>295</v>
      </c>
      <c r="AW64" t="s">
        <v>296</v>
      </c>
      <c r="AX64">
        <v>1</v>
      </c>
      <c r="AY64" t="s">
        <v>297</v>
      </c>
      <c r="AZ64" t="s">
        <v>298</v>
      </c>
      <c r="BA64" t="s">
        <v>349</v>
      </c>
      <c r="BF64" t="s">
        <v>294</v>
      </c>
      <c r="BG64" t="s">
        <v>300</v>
      </c>
      <c r="BI64" t="s">
        <v>298</v>
      </c>
      <c r="BR64" t="s">
        <v>289</v>
      </c>
      <c r="BS64" t="s">
        <v>433</v>
      </c>
      <c r="BT64" t="s">
        <v>434</v>
      </c>
      <c r="BU64" t="s">
        <v>303</v>
      </c>
      <c r="BV64" t="s">
        <v>304</v>
      </c>
      <c r="BX64" t="s">
        <v>324</v>
      </c>
      <c r="BY64" t="s">
        <v>298</v>
      </c>
      <c r="BZ64" t="s">
        <v>403</v>
      </c>
      <c r="CA64" t="s">
        <v>526</v>
      </c>
      <c r="CC64" t="s">
        <v>308</v>
      </c>
      <c r="CD64" t="s">
        <v>309</v>
      </c>
      <c r="CE64" t="s">
        <v>294</v>
      </c>
      <c r="CH64" t="s">
        <v>304</v>
      </c>
      <c r="CI64" t="s">
        <v>304</v>
      </c>
      <c r="CK64" t="s">
        <v>580</v>
      </c>
      <c r="CL64" t="s">
        <v>311</v>
      </c>
      <c r="CM64" t="s">
        <v>581</v>
      </c>
      <c r="CN64" t="s">
        <v>328</v>
      </c>
      <c r="CO64" t="s">
        <v>312</v>
      </c>
      <c r="CT64" t="s">
        <v>294</v>
      </c>
      <c r="CU64" t="s">
        <v>405</v>
      </c>
      <c r="CW64" t="s">
        <v>406</v>
      </c>
      <c r="CX64" t="s">
        <v>316</v>
      </c>
      <c r="CZ64" t="s">
        <v>289</v>
      </c>
      <c r="DA64" t="s">
        <v>289</v>
      </c>
      <c r="DB64" t="s">
        <v>289</v>
      </c>
      <c r="DC64" t="s">
        <v>289</v>
      </c>
      <c r="DI64" t="s">
        <v>289</v>
      </c>
      <c r="DL64" t="s">
        <v>289</v>
      </c>
      <c r="DM64" t="s">
        <v>317</v>
      </c>
      <c r="DS64" t="s">
        <v>289</v>
      </c>
      <c r="DT64" t="s">
        <v>289</v>
      </c>
      <c r="DU64" t="s">
        <v>318</v>
      </c>
      <c r="DV64" t="s">
        <v>289</v>
      </c>
      <c r="DX64" t="s">
        <v>319</v>
      </c>
      <c r="EA64" t="s">
        <v>289</v>
      </c>
    </row>
    <row r="65" spans="1:131" x14ac:dyDescent="0.25">
      <c r="A65">
        <v>157665</v>
      </c>
      <c r="B65">
        <v>147798</v>
      </c>
      <c r="C65" t="str">
        <f>"100326550479"</f>
        <v>100326550479</v>
      </c>
      <c r="D65" t="s">
        <v>582</v>
      </c>
      <c r="E65" t="s">
        <v>583</v>
      </c>
      <c r="F65" t="s">
        <v>584</v>
      </c>
      <c r="G65" s="1">
        <v>40263</v>
      </c>
      <c r="I65" t="s">
        <v>353</v>
      </c>
      <c r="J65" t="s">
        <v>287</v>
      </c>
      <c r="K65" t="s">
        <v>288</v>
      </c>
      <c r="Q65" t="s">
        <v>289</v>
      </c>
      <c r="R65" t="str">
        <f>"КАЗАХСТАН, АКМОЛИНСКАЯ, ЗЕРЕНДИНСКИЙ РАЙОН, Зерендинский, Зеренда, 18"</f>
        <v>КАЗАХСТАН, АКМОЛИНСКАЯ, ЗЕРЕНДИНСКИЙ РАЙОН, Зерендинский, Зеренда, 18</v>
      </c>
      <c r="S65" t="str">
        <f>"ҚАЗАҚСТАН, АҚМОЛА, ЗЕРЕНДІ АУДАНЫ, Зерендинский, Зеренда, 18"</f>
        <v>ҚАЗАҚСТАН, АҚМОЛА, ЗЕРЕНДІ АУДАНЫ, Зерендинский, Зеренда, 18</v>
      </c>
      <c r="T65" t="str">
        <f>"Зерендинский, Зеренда, 18"</f>
        <v>Зерендинский, Зеренда, 18</v>
      </c>
      <c r="U65" t="str">
        <f>"Зерендинский, Зеренда, 18"</f>
        <v>Зерендинский, Зеренда, 18</v>
      </c>
      <c r="AC65" t="str">
        <f>"2016-09-01T00:00:00"</f>
        <v>2016-09-01T00:00:00</v>
      </c>
      <c r="AD65" t="str">
        <f>"1"</f>
        <v>1</v>
      </c>
      <c r="AE65" t="str">
        <f>"2024-09-01T22:54:36"</f>
        <v>2024-09-01T22:54:36</v>
      </c>
      <c r="AF65" t="str">
        <f>"2025-05-25T22:54:36"</f>
        <v>2025-05-25T22:54:36</v>
      </c>
      <c r="AG65" t="s">
        <v>290</v>
      </c>
      <c r="AH65" t="str">
        <f>"aidyn@mail.ru"</f>
        <v>aidyn@mail.ru</v>
      </c>
      <c r="AI65" t="s">
        <v>476</v>
      </c>
      <c r="AK65" t="s">
        <v>332</v>
      </c>
      <c r="AP65" t="s">
        <v>342</v>
      </c>
      <c r="AT65" t="s">
        <v>294</v>
      </c>
      <c r="AU65" t="s">
        <v>295</v>
      </c>
      <c r="AW65" t="s">
        <v>296</v>
      </c>
      <c r="AX65">
        <v>1</v>
      </c>
      <c r="AY65" t="s">
        <v>297</v>
      </c>
      <c r="AZ65" t="s">
        <v>298</v>
      </c>
      <c r="BA65" t="s">
        <v>323</v>
      </c>
      <c r="BF65" t="s">
        <v>294</v>
      </c>
      <c r="BG65" t="s">
        <v>300</v>
      </c>
      <c r="BI65" t="s">
        <v>298</v>
      </c>
      <c r="BR65" t="s">
        <v>289</v>
      </c>
      <c r="BS65" t="s">
        <v>301</v>
      </c>
      <c r="BT65" t="s">
        <v>302</v>
      </c>
      <c r="BU65" t="s">
        <v>303</v>
      </c>
      <c r="BV65" t="s">
        <v>304</v>
      </c>
      <c r="BX65" t="s">
        <v>324</v>
      </c>
      <c r="BY65" t="s">
        <v>298</v>
      </c>
      <c r="BZ65" t="s">
        <v>380</v>
      </c>
      <c r="CA65" t="s">
        <v>585</v>
      </c>
      <c r="CC65" t="s">
        <v>308</v>
      </c>
      <c r="CD65" t="s">
        <v>309</v>
      </c>
      <c r="CE65" t="s">
        <v>294</v>
      </c>
      <c r="CH65" t="s">
        <v>304</v>
      </c>
      <c r="CI65" t="s">
        <v>304</v>
      </c>
      <c r="CK65" t="s">
        <v>382</v>
      </c>
      <c r="CL65" t="s">
        <v>328</v>
      </c>
      <c r="CM65" t="s">
        <v>467</v>
      </c>
      <c r="CN65" t="s">
        <v>328</v>
      </c>
      <c r="CO65" t="s">
        <v>312</v>
      </c>
      <c r="CT65" t="s">
        <v>294</v>
      </c>
      <c r="CU65" t="s">
        <v>313</v>
      </c>
      <c r="CV65" t="s">
        <v>314</v>
      </c>
      <c r="CW65" t="s">
        <v>315</v>
      </c>
      <c r="CX65" t="s">
        <v>316</v>
      </c>
      <c r="CZ65" t="s">
        <v>289</v>
      </c>
      <c r="DA65" t="s">
        <v>289</v>
      </c>
      <c r="DB65" t="s">
        <v>289</v>
      </c>
      <c r="DC65" t="s">
        <v>289</v>
      </c>
      <c r="DI65" t="s">
        <v>289</v>
      </c>
      <c r="DL65" t="s">
        <v>289</v>
      </c>
      <c r="DM65" t="s">
        <v>317</v>
      </c>
      <c r="DS65" t="s">
        <v>289</v>
      </c>
      <c r="DT65" t="s">
        <v>289</v>
      </c>
      <c r="DU65" t="s">
        <v>318</v>
      </c>
      <c r="DV65" t="s">
        <v>289</v>
      </c>
      <c r="DX65" t="s">
        <v>319</v>
      </c>
      <c r="EA65" t="s">
        <v>289</v>
      </c>
    </row>
    <row r="66" spans="1:131" x14ac:dyDescent="0.25">
      <c r="A66">
        <v>157671</v>
      </c>
      <c r="B66">
        <v>147803</v>
      </c>
      <c r="C66" t="str">
        <f>"100729552802"</f>
        <v>100729552802</v>
      </c>
      <c r="D66" t="s">
        <v>576</v>
      </c>
      <c r="E66" t="s">
        <v>586</v>
      </c>
      <c r="F66" t="s">
        <v>578</v>
      </c>
      <c r="G66" s="1">
        <v>40388</v>
      </c>
      <c r="I66" t="s">
        <v>353</v>
      </c>
      <c r="J66" t="s">
        <v>287</v>
      </c>
      <c r="K66" t="s">
        <v>288</v>
      </c>
      <c r="Q66" t="s">
        <v>289</v>
      </c>
      <c r="R66" t="str">
        <f>"КАЗАХСТАН, АКМОЛИНСКАЯ, ЗЕРЕНДИНСКИЙ РАЙОН, Зерендинский, Зеренда, 6, 2"</f>
        <v>КАЗАХСТАН, АКМОЛИНСКАЯ, ЗЕРЕНДИНСКИЙ РАЙОН, Зерендинский, Зеренда, 6, 2</v>
      </c>
      <c r="S66" t="str">
        <f>"ҚАЗАҚСТАН, АҚМОЛА, ЗЕРЕНДІ АУДАНЫ, Зерендинский, Зеренда, 6, 2"</f>
        <v>ҚАЗАҚСТАН, АҚМОЛА, ЗЕРЕНДІ АУДАНЫ, Зерендинский, Зеренда, 6, 2</v>
      </c>
      <c r="T66" t="str">
        <f>"Зерендинский, Зеренда, 6, 2"</f>
        <v>Зерендинский, Зеренда, 6, 2</v>
      </c>
      <c r="U66" t="str">
        <f>"Зерендинский, Зеренда, 6, 2"</f>
        <v>Зерендинский, Зеренда, 6, 2</v>
      </c>
      <c r="AC66" t="str">
        <f>"2016-09-01T00:00:00"</f>
        <v>2016-09-01T00:00:00</v>
      </c>
      <c r="AD66" t="str">
        <f>"1"</f>
        <v>1</v>
      </c>
      <c r="AE66" t="str">
        <f>"2024-09-01T22:55:34"</f>
        <v>2024-09-01T22:55:34</v>
      </c>
      <c r="AF66" t="str">
        <f>"2025-05-25T22:55:34"</f>
        <v>2025-05-25T22:55:34</v>
      </c>
      <c r="AG66" t="s">
        <v>290</v>
      </c>
      <c r="AH66" t="str">
        <f>"gulnur.shaimerden01@mail.ru"</f>
        <v>gulnur.shaimerden01@mail.ru</v>
      </c>
      <c r="AI66" t="s">
        <v>476</v>
      </c>
      <c r="AK66" t="s">
        <v>332</v>
      </c>
      <c r="AP66" t="s">
        <v>293</v>
      </c>
      <c r="AT66" t="s">
        <v>294</v>
      </c>
      <c r="AU66" t="s">
        <v>295</v>
      </c>
      <c r="AW66" t="s">
        <v>296</v>
      </c>
      <c r="AX66">
        <v>1</v>
      </c>
      <c r="AY66" t="s">
        <v>297</v>
      </c>
      <c r="AZ66" t="s">
        <v>298</v>
      </c>
      <c r="BA66" t="s">
        <v>323</v>
      </c>
      <c r="BF66" t="s">
        <v>294</v>
      </c>
      <c r="BG66" t="s">
        <v>300</v>
      </c>
      <c r="BI66" t="s">
        <v>298</v>
      </c>
      <c r="BR66" t="s">
        <v>289</v>
      </c>
      <c r="BS66" t="s">
        <v>301</v>
      </c>
      <c r="BT66" t="s">
        <v>302</v>
      </c>
      <c r="BU66" t="s">
        <v>303</v>
      </c>
      <c r="BV66" t="s">
        <v>304</v>
      </c>
      <c r="BX66" t="s">
        <v>305</v>
      </c>
      <c r="BY66" t="s">
        <v>298</v>
      </c>
      <c r="BZ66" t="s">
        <v>333</v>
      </c>
      <c r="CA66" t="s">
        <v>307</v>
      </c>
      <c r="CC66" t="s">
        <v>308</v>
      </c>
      <c r="CD66" t="s">
        <v>309</v>
      </c>
      <c r="CE66" t="s">
        <v>294</v>
      </c>
      <c r="CH66" t="s">
        <v>304</v>
      </c>
      <c r="CI66" t="s">
        <v>304</v>
      </c>
      <c r="CK66" t="s">
        <v>471</v>
      </c>
      <c r="CL66" t="s">
        <v>328</v>
      </c>
      <c r="CM66" t="s">
        <v>298</v>
      </c>
      <c r="CO66" t="s">
        <v>312</v>
      </c>
      <c r="CT66" t="s">
        <v>294</v>
      </c>
      <c r="CU66" t="s">
        <v>313</v>
      </c>
      <c r="CV66" t="s">
        <v>314</v>
      </c>
      <c r="CW66" t="s">
        <v>315</v>
      </c>
      <c r="CX66" t="s">
        <v>316</v>
      </c>
      <c r="CZ66" t="s">
        <v>289</v>
      </c>
      <c r="DA66" t="s">
        <v>289</v>
      </c>
      <c r="DB66" t="s">
        <v>289</v>
      </c>
      <c r="DC66" t="s">
        <v>289</v>
      </c>
      <c r="DI66" t="s">
        <v>289</v>
      </c>
      <c r="DL66" t="s">
        <v>289</v>
      </c>
      <c r="DM66" t="s">
        <v>317</v>
      </c>
      <c r="DS66" t="s">
        <v>289</v>
      </c>
      <c r="DT66" t="s">
        <v>289</v>
      </c>
      <c r="DU66" t="s">
        <v>318</v>
      </c>
      <c r="DV66" t="s">
        <v>289</v>
      </c>
      <c r="DX66" t="s">
        <v>319</v>
      </c>
      <c r="EA66" t="s">
        <v>294</v>
      </c>
    </row>
    <row r="67" spans="1:131" x14ac:dyDescent="0.25">
      <c r="A67">
        <v>157698</v>
      </c>
      <c r="B67">
        <v>147824</v>
      </c>
      <c r="C67" t="str">
        <f>"100813552733"</f>
        <v>100813552733</v>
      </c>
      <c r="D67" t="s">
        <v>587</v>
      </c>
      <c r="E67" t="s">
        <v>588</v>
      </c>
      <c r="F67" t="s">
        <v>589</v>
      </c>
      <c r="G67" s="1">
        <v>40403</v>
      </c>
      <c r="I67" t="s">
        <v>353</v>
      </c>
      <c r="J67" t="s">
        <v>287</v>
      </c>
      <c r="K67" t="s">
        <v>288</v>
      </c>
      <c r="Q67" t="s">
        <v>289</v>
      </c>
      <c r="R67" t="str">
        <f>"КАЗАХСТАН, АКМОЛИНСКАЯ, ЗЕРЕНДИНСКИЙ РАЙОН, Зерендинский, Зеренда, 52Г"</f>
        <v>КАЗАХСТАН, АКМОЛИНСКАЯ, ЗЕРЕНДИНСКИЙ РАЙОН, Зерендинский, Зеренда, 52Г</v>
      </c>
      <c r="S67" t="str">
        <f>"ҚАЗАҚСТАН, АҚМОЛА, ЗЕРЕНДІ АУДАНЫ, Зерендинский, Зеренда, 52Г"</f>
        <v>ҚАЗАҚСТАН, АҚМОЛА, ЗЕРЕНДІ АУДАНЫ, Зерендинский, Зеренда, 52Г</v>
      </c>
      <c r="T67" t="str">
        <f>"Зерендинский, Зеренда, 52Г"</f>
        <v>Зерендинский, Зеренда, 52Г</v>
      </c>
      <c r="U67" t="str">
        <f>"Зерендинский, Зеренда, 52Г"</f>
        <v>Зерендинский, Зеренда, 52Г</v>
      </c>
      <c r="AC67" t="str">
        <f>"2016-09-01T00:00:00"</f>
        <v>2016-09-01T00:00:00</v>
      </c>
      <c r="AD67" t="str">
        <f>"1"</f>
        <v>1</v>
      </c>
      <c r="AE67" t="str">
        <f>"2024-09-01T22:55:46"</f>
        <v>2024-09-01T22:55:46</v>
      </c>
      <c r="AF67" t="str">
        <f>"2025-05-25T22:55:46"</f>
        <v>2025-05-25T22:55:46</v>
      </c>
      <c r="AG67" t="s">
        <v>290</v>
      </c>
      <c r="AH67" t="str">
        <f>"gulnur.shaimerden01@mail.ru"</f>
        <v>gulnur.shaimerden01@mail.ru</v>
      </c>
      <c r="AI67" t="s">
        <v>476</v>
      </c>
      <c r="AK67" t="s">
        <v>332</v>
      </c>
      <c r="AP67" t="s">
        <v>293</v>
      </c>
      <c r="AT67" t="s">
        <v>294</v>
      </c>
      <c r="AU67" t="s">
        <v>295</v>
      </c>
      <c r="AW67" t="s">
        <v>296</v>
      </c>
      <c r="AX67">
        <v>1</v>
      </c>
      <c r="AY67" t="s">
        <v>297</v>
      </c>
      <c r="AZ67" t="s">
        <v>298</v>
      </c>
      <c r="BA67" t="s">
        <v>349</v>
      </c>
      <c r="BF67" t="s">
        <v>294</v>
      </c>
      <c r="BG67" t="s">
        <v>300</v>
      </c>
      <c r="BI67" t="s">
        <v>298</v>
      </c>
      <c r="BR67" t="s">
        <v>289</v>
      </c>
      <c r="BS67" t="s">
        <v>301</v>
      </c>
      <c r="BT67" t="s">
        <v>302</v>
      </c>
      <c r="BU67" t="s">
        <v>303</v>
      </c>
      <c r="BV67" t="s">
        <v>304</v>
      </c>
      <c r="BX67" t="s">
        <v>305</v>
      </c>
      <c r="BY67" t="s">
        <v>298</v>
      </c>
      <c r="BZ67" t="s">
        <v>343</v>
      </c>
      <c r="CA67">
        <v>3</v>
      </c>
      <c r="CC67" t="s">
        <v>308</v>
      </c>
      <c r="CD67" t="s">
        <v>309</v>
      </c>
      <c r="CE67" t="s">
        <v>294</v>
      </c>
      <c r="CH67" t="s">
        <v>304</v>
      </c>
      <c r="CI67" t="s">
        <v>304</v>
      </c>
      <c r="CK67" t="s">
        <v>382</v>
      </c>
      <c r="CL67" t="s">
        <v>328</v>
      </c>
      <c r="CM67" t="s">
        <v>507</v>
      </c>
      <c r="CN67" t="s">
        <v>328</v>
      </c>
      <c r="CO67" t="s">
        <v>312</v>
      </c>
      <c r="CT67" t="s">
        <v>294</v>
      </c>
      <c r="CU67" t="s">
        <v>313</v>
      </c>
      <c r="CV67" t="s">
        <v>314</v>
      </c>
      <c r="CW67" t="s">
        <v>315</v>
      </c>
      <c r="CX67" t="s">
        <v>316</v>
      </c>
      <c r="CZ67" t="s">
        <v>289</v>
      </c>
      <c r="DA67" t="s">
        <v>289</v>
      </c>
      <c r="DB67" t="s">
        <v>289</v>
      </c>
      <c r="DC67" t="s">
        <v>289</v>
      </c>
      <c r="DI67" t="s">
        <v>289</v>
      </c>
      <c r="DL67" t="s">
        <v>289</v>
      </c>
      <c r="DM67" t="s">
        <v>317</v>
      </c>
      <c r="DS67" t="s">
        <v>289</v>
      </c>
      <c r="DT67" t="s">
        <v>289</v>
      </c>
      <c r="DU67" t="s">
        <v>318</v>
      </c>
      <c r="DV67" t="s">
        <v>289</v>
      </c>
      <c r="DX67" t="s">
        <v>319</v>
      </c>
      <c r="EA67" t="s">
        <v>294</v>
      </c>
    </row>
    <row r="68" spans="1:131" x14ac:dyDescent="0.25">
      <c r="A68">
        <v>157703</v>
      </c>
      <c r="B68">
        <v>147830</v>
      </c>
      <c r="C68" t="str">
        <f>"121025503972"</f>
        <v>121025503972</v>
      </c>
      <c r="D68" t="s">
        <v>590</v>
      </c>
      <c r="E68" t="s">
        <v>591</v>
      </c>
      <c r="F68" t="s">
        <v>592</v>
      </c>
      <c r="G68" s="1">
        <v>41207</v>
      </c>
      <c r="I68" t="s">
        <v>353</v>
      </c>
      <c r="J68" t="s">
        <v>287</v>
      </c>
      <c r="K68" t="s">
        <v>288</v>
      </c>
      <c r="Q68" t="s">
        <v>289</v>
      </c>
      <c r="R68" t="str">
        <f>"КАЗАХСТАН, АКМОЛИНСКАЯ, ЗЕРЕНДИНСКИЙ РАЙОН, Зерендинский, Зеренда, 25"</f>
        <v>КАЗАХСТАН, АКМОЛИНСКАЯ, ЗЕРЕНДИНСКИЙ РАЙОН, Зерендинский, Зеренда, 25</v>
      </c>
      <c r="S68" t="str">
        <f>"ҚАЗАҚСТАН, АҚМОЛА, ЗЕРЕНДІ АУДАНЫ, Зерендинский, Зеренда, 25"</f>
        <v>ҚАЗАҚСТАН, АҚМОЛА, ЗЕРЕНДІ АУДАНЫ, Зерендинский, Зеренда, 25</v>
      </c>
      <c r="T68" t="str">
        <f>"Зерендинский, Зеренда, 25"</f>
        <v>Зерендинский, Зеренда, 25</v>
      </c>
      <c r="U68" t="str">
        <f>"Зерендинский, Зеренда, 25"</f>
        <v>Зерендинский, Зеренда, 25</v>
      </c>
      <c r="AC68" t="str">
        <f>"2018-08-29T00:00:00"</f>
        <v>2018-08-29T00:00:00</v>
      </c>
      <c r="AD68" t="str">
        <f>"61"</f>
        <v>61</v>
      </c>
      <c r="AE68" t="str">
        <f>"2024-09-01T21:29:34"</f>
        <v>2024-09-01T21:29:34</v>
      </c>
      <c r="AF68" t="str">
        <f>"2025-05-25T21:29:34"</f>
        <v>2025-05-25T21:29:34</v>
      </c>
      <c r="AG68" t="s">
        <v>290</v>
      </c>
      <c r="AI68" t="s">
        <v>373</v>
      </c>
      <c r="AK68" t="s">
        <v>465</v>
      </c>
      <c r="AP68" t="s">
        <v>342</v>
      </c>
      <c r="AT68" t="s">
        <v>294</v>
      </c>
      <c r="AU68" t="s">
        <v>295</v>
      </c>
      <c r="AW68" t="s">
        <v>296</v>
      </c>
      <c r="AX68">
        <v>2</v>
      </c>
      <c r="AY68" t="s">
        <v>297</v>
      </c>
      <c r="AZ68" t="s">
        <v>298</v>
      </c>
      <c r="BA68" t="s">
        <v>323</v>
      </c>
      <c r="BF68" t="s">
        <v>294</v>
      </c>
      <c r="BG68" t="s">
        <v>300</v>
      </c>
      <c r="BI68" t="s">
        <v>298</v>
      </c>
      <c r="BR68" t="s">
        <v>289</v>
      </c>
      <c r="BS68" t="s">
        <v>301</v>
      </c>
      <c r="BT68" t="s">
        <v>302</v>
      </c>
      <c r="BU68" t="s">
        <v>303</v>
      </c>
      <c r="BV68" t="s">
        <v>304</v>
      </c>
      <c r="BX68" t="s">
        <v>324</v>
      </c>
      <c r="BY68" t="s">
        <v>298</v>
      </c>
      <c r="BZ68" t="s">
        <v>306</v>
      </c>
      <c r="CA68" t="s">
        <v>393</v>
      </c>
      <c r="CC68" t="s">
        <v>308</v>
      </c>
      <c r="CD68" t="s">
        <v>309</v>
      </c>
      <c r="CE68" t="s">
        <v>294</v>
      </c>
      <c r="CH68" t="s">
        <v>304</v>
      </c>
      <c r="CI68" t="s">
        <v>304</v>
      </c>
      <c r="CK68" t="s">
        <v>497</v>
      </c>
      <c r="CL68" t="s">
        <v>328</v>
      </c>
      <c r="CM68" t="s">
        <v>388</v>
      </c>
      <c r="CN68" t="s">
        <v>328</v>
      </c>
      <c r="CO68" t="s">
        <v>312</v>
      </c>
      <c r="CT68" t="s">
        <v>294</v>
      </c>
      <c r="CU68" t="s">
        <v>313</v>
      </c>
      <c r="CV68" t="s">
        <v>314</v>
      </c>
      <c r="CW68" t="s">
        <v>315</v>
      </c>
      <c r="CX68" t="s">
        <v>316</v>
      </c>
      <c r="CZ68" t="s">
        <v>289</v>
      </c>
      <c r="DA68" t="s">
        <v>289</v>
      </c>
      <c r="DB68" t="s">
        <v>289</v>
      </c>
      <c r="DC68" t="s">
        <v>289</v>
      </c>
      <c r="DI68" t="s">
        <v>289</v>
      </c>
      <c r="DL68" t="s">
        <v>289</v>
      </c>
      <c r="DM68" t="s">
        <v>317</v>
      </c>
      <c r="DS68" t="s">
        <v>289</v>
      </c>
      <c r="DT68" t="s">
        <v>289</v>
      </c>
      <c r="DU68" t="s">
        <v>318</v>
      </c>
      <c r="DV68" t="s">
        <v>289</v>
      </c>
      <c r="DX68" t="s">
        <v>319</v>
      </c>
      <c r="EA68" t="s">
        <v>289</v>
      </c>
    </row>
    <row r="69" spans="1:131" x14ac:dyDescent="0.25">
      <c r="A69">
        <v>157718</v>
      </c>
      <c r="B69">
        <v>147840</v>
      </c>
      <c r="C69" t="str">
        <f>"111020504486"</f>
        <v>111020504486</v>
      </c>
      <c r="D69" t="s">
        <v>593</v>
      </c>
      <c r="E69" t="s">
        <v>594</v>
      </c>
      <c r="F69" t="s">
        <v>595</v>
      </c>
      <c r="G69" s="1">
        <v>40836</v>
      </c>
      <c r="I69" t="s">
        <v>353</v>
      </c>
      <c r="J69" t="s">
        <v>287</v>
      </c>
      <c r="K69" t="s">
        <v>288</v>
      </c>
      <c r="Q69" t="s">
        <v>289</v>
      </c>
      <c r="R69" t="str">
        <f>"КАЗАХСТАН, АКМОЛИНСКАЯ, ЗЕРЕНДИНСКИЙ РАЙОН, Зерендинский, Зеренда, 7, 2"</f>
        <v>КАЗАХСТАН, АКМОЛИНСКАЯ, ЗЕРЕНДИНСКИЙ РАЙОН, Зерендинский, Зеренда, 7, 2</v>
      </c>
      <c r="S69" t="str">
        <f>"ҚАЗАҚСТАН, АҚМОЛА, ЗЕРЕНДІ АУДАНЫ, Зерендинский, Зеренда, 7, 2"</f>
        <v>ҚАЗАҚСТАН, АҚМОЛА, ЗЕРЕНДІ АУДАНЫ, Зерендинский, Зеренда, 7, 2</v>
      </c>
      <c r="T69" t="str">
        <f>"Зерендинский, Зеренда, 7, 2"</f>
        <v>Зерендинский, Зеренда, 7, 2</v>
      </c>
      <c r="U69" t="str">
        <f>"Зерендинский, Зеренда, 7, 2"</f>
        <v>Зерендинский, Зеренда, 7, 2</v>
      </c>
      <c r="AC69" t="str">
        <f>"2017-08-22T00:00:00"</f>
        <v>2017-08-22T00:00:00</v>
      </c>
      <c r="AD69" t="str">
        <f>"23"</f>
        <v>23</v>
      </c>
      <c r="AE69" t="str">
        <f>"2024-09-01T22:44:47"</f>
        <v>2024-09-01T22:44:47</v>
      </c>
      <c r="AF69" t="str">
        <f>"2025-05-25T22:44:47"</f>
        <v>2025-05-25T22:44:47</v>
      </c>
      <c r="AG69" t="s">
        <v>290</v>
      </c>
      <c r="AI69" t="s">
        <v>476</v>
      </c>
      <c r="AK69" t="s">
        <v>292</v>
      </c>
      <c r="AP69" t="s">
        <v>342</v>
      </c>
      <c r="AT69" t="s">
        <v>294</v>
      </c>
      <c r="AU69" t="s">
        <v>295</v>
      </c>
      <c r="AW69" t="s">
        <v>296</v>
      </c>
      <c r="AX69">
        <v>2</v>
      </c>
      <c r="AY69" t="s">
        <v>297</v>
      </c>
      <c r="AZ69" t="s">
        <v>298</v>
      </c>
      <c r="BA69" t="s">
        <v>349</v>
      </c>
      <c r="BF69" t="s">
        <v>294</v>
      </c>
      <c r="BG69" t="s">
        <v>300</v>
      </c>
      <c r="BI69" t="s">
        <v>298</v>
      </c>
      <c r="BR69" t="s">
        <v>289</v>
      </c>
      <c r="BS69" t="s">
        <v>301</v>
      </c>
      <c r="BT69" t="s">
        <v>302</v>
      </c>
      <c r="BU69" t="s">
        <v>303</v>
      </c>
      <c r="BV69" t="s">
        <v>304</v>
      </c>
      <c r="BX69" t="s">
        <v>324</v>
      </c>
      <c r="BY69" t="s">
        <v>298</v>
      </c>
      <c r="BZ69" t="s">
        <v>306</v>
      </c>
      <c r="CA69" t="s">
        <v>325</v>
      </c>
      <c r="CC69" t="s">
        <v>308</v>
      </c>
      <c r="CD69" t="s">
        <v>309</v>
      </c>
      <c r="CE69" t="s">
        <v>294</v>
      </c>
      <c r="CH69" t="s">
        <v>304</v>
      </c>
      <c r="CI69" t="s">
        <v>304</v>
      </c>
      <c r="CK69" t="s">
        <v>375</v>
      </c>
      <c r="CL69" t="s">
        <v>328</v>
      </c>
      <c r="CM69" t="s">
        <v>596</v>
      </c>
      <c r="CN69" t="s">
        <v>311</v>
      </c>
      <c r="CO69" t="s">
        <v>312</v>
      </c>
      <c r="CT69" t="s">
        <v>294</v>
      </c>
      <c r="CU69" t="s">
        <v>313</v>
      </c>
      <c r="CV69" t="s">
        <v>314</v>
      </c>
      <c r="CW69" t="s">
        <v>315</v>
      </c>
      <c r="CX69" t="s">
        <v>316</v>
      </c>
      <c r="CZ69" t="s">
        <v>289</v>
      </c>
      <c r="DA69" t="s">
        <v>289</v>
      </c>
      <c r="DB69" t="s">
        <v>289</v>
      </c>
      <c r="DC69" t="s">
        <v>289</v>
      </c>
      <c r="DI69" t="s">
        <v>289</v>
      </c>
      <c r="DL69" t="s">
        <v>289</v>
      </c>
      <c r="DM69" t="s">
        <v>317</v>
      </c>
      <c r="DS69" t="s">
        <v>289</v>
      </c>
      <c r="DT69" t="s">
        <v>289</v>
      </c>
      <c r="DU69" t="s">
        <v>318</v>
      </c>
      <c r="DV69" t="s">
        <v>289</v>
      </c>
      <c r="DX69" t="s">
        <v>319</v>
      </c>
      <c r="EA69" t="s">
        <v>289</v>
      </c>
    </row>
    <row r="70" spans="1:131" x14ac:dyDescent="0.25">
      <c r="A70">
        <v>157723</v>
      </c>
      <c r="B70">
        <v>147847</v>
      </c>
      <c r="C70" t="str">
        <f>"111123601263"</f>
        <v>111123601263</v>
      </c>
      <c r="D70" t="s">
        <v>597</v>
      </c>
      <c r="E70" t="s">
        <v>598</v>
      </c>
      <c r="F70" t="s">
        <v>538</v>
      </c>
      <c r="G70" s="1">
        <v>40870</v>
      </c>
      <c r="I70" t="s">
        <v>286</v>
      </c>
      <c r="J70" t="s">
        <v>287</v>
      </c>
      <c r="K70" t="s">
        <v>288</v>
      </c>
      <c r="Q70" t="s">
        <v>289</v>
      </c>
      <c r="R70" t="str">
        <f>"КАЗАХСТАН, АКМОЛИНСКАЯ, ЗЕРЕНДИНСКИЙ РАЙОН, Зерендинский, Зеренда, 26"</f>
        <v>КАЗАХСТАН, АКМОЛИНСКАЯ, ЗЕРЕНДИНСКИЙ РАЙОН, Зерендинский, Зеренда, 26</v>
      </c>
      <c r="S70" t="str">
        <f>"ҚАЗАҚСТАН, АҚМОЛА, ЗЕРЕНДІ АУДАНЫ, Зерендинский, Зеренда, 26"</f>
        <v>ҚАЗАҚСТАН, АҚМОЛА, ЗЕРЕНДІ АУДАНЫ, Зерендинский, Зеренда, 26</v>
      </c>
      <c r="T70" t="str">
        <f>"Зерендинский, Зеренда, 26"</f>
        <v>Зерендинский, Зеренда, 26</v>
      </c>
      <c r="U70" t="str">
        <f>"Зерендинский, Зеренда, 26"</f>
        <v>Зерендинский, Зеренда, 26</v>
      </c>
      <c r="AC70" t="str">
        <f>"2017-08-22T00:00:00"</f>
        <v>2017-08-22T00:00:00</v>
      </c>
      <c r="AD70" t="str">
        <f>"32"</f>
        <v>32</v>
      </c>
      <c r="AE70" t="str">
        <f>"2024-09-01T22:44:52"</f>
        <v>2024-09-01T22:44:52</v>
      </c>
      <c r="AF70" t="str">
        <f>"2025-05-25T22:44:52"</f>
        <v>2025-05-25T22:44:52</v>
      </c>
      <c r="AG70" t="s">
        <v>290</v>
      </c>
      <c r="AI70" t="s">
        <v>476</v>
      </c>
      <c r="AK70" t="s">
        <v>292</v>
      </c>
      <c r="AP70" t="s">
        <v>293</v>
      </c>
      <c r="AT70" t="s">
        <v>294</v>
      </c>
      <c r="AU70" t="s">
        <v>295</v>
      </c>
      <c r="AW70" t="s">
        <v>296</v>
      </c>
      <c r="AX70">
        <v>2</v>
      </c>
      <c r="AY70" t="s">
        <v>297</v>
      </c>
      <c r="AZ70" t="s">
        <v>298</v>
      </c>
      <c r="BA70" t="s">
        <v>349</v>
      </c>
      <c r="BF70" t="s">
        <v>294</v>
      </c>
      <c r="BG70" t="s">
        <v>300</v>
      </c>
      <c r="BI70" t="s">
        <v>298</v>
      </c>
      <c r="BR70" t="s">
        <v>289</v>
      </c>
      <c r="BS70" t="s">
        <v>301</v>
      </c>
      <c r="BT70" t="s">
        <v>302</v>
      </c>
      <c r="BU70" t="s">
        <v>303</v>
      </c>
      <c r="BV70" t="s">
        <v>304</v>
      </c>
      <c r="BX70" t="s">
        <v>305</v>
      </c>
      <c r="BY70" t="s">
        <v>298</v>
      </c>
      <c r="BZ70" t="s">
        <v>306</v>
      </c>
      <c r="CA70" t="s">
        <v>307</v>
      </c>
      <c r="CC70" t="s">
        <v>308</v>
      </c>
      <c r="CD70" t="s">
        <v>309</v>
      </c>
      <c r="CE70" t="s">
        <v>294</v>
      </c>
      <c r="CH70" t="s">
        <v>304</v>
      </c>
      <c r="CI70" t="s">
        <v>304</v>
      </c>
      <c r="CK70" t="s">
        <v>310</v>
      </c>
      <c r="CL70" t="s">
        <v>311</v>
      </c>
      <c r="CM70" t="s">
        <v>298</v>
      </c>
      <c r="CO70" t="s">
        <v>312</v>
      </c>
      <c r="CT70" t="s">
        <v>294</v>
      </c>
      <c r="CU70" t="s">
        <v>313</v>
      </c>
      <c r="CV70" t="s">
        <v>314</v>
      </c>
      <c r="CW70" t="s">
        <v>315</v>
      </c>
      <c r="CX70" t="s">
        <v>316</v>
      </c>
      <c r="CZ70" t="s">
        <v>289</v>
      </c>
      <c r="DA70" t="s">
        <v>289</v>
      </c>
      <c r="DB70" t="s">
        <v>289</v>
      </c>
      <c r="DC70" t="s">
        <v>289</v>
      </c>
      <c r="DI70" t="s">
        <v>289</v>
      </c>
      <c r="DL70" t="s">
        <v>289</v>
      </c>
      <c r="DM70" t="s">
        <v>317</v>
      </c>
      <c r="DS70" t="s">
        <v>289</v>
      </c>
      <c r="DT70" t="s">
        <v>289</v>
      </c>
      <c r="DU70" t="s">
        <v>318</v>
      </c>
      <c r="DV70" t="s">
        <v>289</v>
      </c>
      <c r="DX70" t="s">
        <v>319</v>
      </c>
      <c r="EA70" t="s">
        <v>289</v>
      </c>
    </row>
    <row r="71" spans="1:131" x14ac:dyDescent="0.25">
      <c r="A71">
        <v>157737</v>
      </c>
      <c r="B71">
        <v>147857</v>
      </c>
      <c r="C71" t="str">
        <f>"101202603263"</f>
        <v>101202603263</v>
      </c>
      <c r="D71" t="s">
        <v>599</v>
      </c>
      <c r="E71" t="s">
        <v>443</v>
      </c>
      <c r="F71" t="s">
        <v>600</v>
      </c>
      <c r="G71" s="1">
        <v>40514</v>
      </c>
      <c r="I71" t="s">
        <v>286</v>
      </c>
      <c r="J71" t="s">
        <v>287</v>
      </c>
      <c r="K71" t="s">
        <v>288</v>
      </c>
      <c r="Q71" t="s">
        <v>289</v>
      </c>
      <c r="R71" t="str">
        <f>"КАЗАХСТАН, АКМОЛИНСКАЯ, ЗЕРЕНДИНСКИЙ РАЙОН, Зерендинский, Зеренда, 3, 4"</f>
        <v>КАЗАХСТАН, АКМОЛИНСКАЯ, ЗЕРЕНДИНСКИЙ РАЙОН, Зерендинский, Зеренда, 3, 4</v>
      </c>
      <c r="S71" t="str">
        <f>"ҚАЗАҚСТАН, АҚМОЛА, ЗЕРЕНДІ АУДАНЫ, Зерендинский, Зеренда, 3, 4"</f>
        <v>ҚАЗАҚСТАН, АҚМОЛА, ЗЕРЕНДІ АУДАНЫ, Зерендинский, Зеренда, 3, 4</v>
      </c>
      <c r="T71" t="str">
        <f>"Зерендинский, Зеренда, 3, 4"</f>
        <v>Зерендинский, Зеренда, 3, 4</v>
      </c>
      <c r="U71" t="str">
        <f>"Зерендинский, Зеренда, 3, 4"</f>
        <v>Зерендинский, Зеренда, 3, 4</v>
      </c>
      <c r="AC71" t="str">
        <f>"2017-08-28T00:00:00"</f>
        <v>2017-08-28T00:00:00</v>
      </c>
      <c r="AD71" t="str">
        <f>"39"</f>
        <v>39</v>
      </c>
      <c r="AE71" t="str">
        <f>"2024-09-01T14:37:44"</f>
        <v>2024-09-01T14:37:44</v>
      </c>
      <c r="AF71" t="str">
        <f>"2025-05-25T14:37:44"</f>
        <v>2025-05-25T14:37:44</v>
      </c>
      <c r="AG71" t="s">
        <v>290</v>
      </c>
      <c r="AI71" t="s">
        <v>476</v>
      </c>
      <c r="AK71" t="s">
        <v>292</v>
      </c>
      <c r="AP71" t="s">
        <v>293</v>
      </c>
      <c r="AT71" t="s">
        <v>294</v>
      </c>
      <c r="AU71" t="s">
        <v>295</v>
      </c>
      <c r="AW71" t="s">
        <v>296</v>
      </c>
      <c r="AX71">
        <v>2</v>
      </c>
      <c r="AY71" t="s">
        <v>297</v>
      </c>
      <c r="AZ71" t="s">
        <v>298</v>
      </c>
      <c r="BA71" t="s">
        <v>349</v>
      </c>
      <c r="BE71" t="str">
        <f>"2020-08-26T17:29:21"</f>
        <v>2020-08-26T17:29:21</v>
      </c>
      <c r="BF71" t="s">
        <v>294</v>
      </c>
      <c r="BG71" t="s">
        <v>300</v>
      </c>
      <c r="BI71" t="s">
        <v>298</v>
      </c>
      <c r="BR71" t="s">
        <v>289</v>
      </c>
      <c r="BS71" t="s">
        <v>301</v>
      </c>
      <c r="BT71" t="s">
        <v>302</v>
      </c>
      <c r="BU71" t="s">
        <v>303</v>
      </c>
      <c r="BV71" t="s">
        <v>365</v>
      </c>
      <c r="BX71" t="s">
        <v>305</v>
      </c>
      <c r="BY71" t="s">
        <v>298</v>
      </c>
      <c r="BZ71" t="s">
        <v>306</v>
      </c>
      <c r="CA71" t="s">
        <v>307</v>
      </c>
      <c r="CC71" t="s">
        <v>308</v>
      </c>
      <c r="CD71" t="s">
        <v>309</v>
      </c>
      <c r="CE71" t="s">
        <v>294</v>
      </c>
      <c r="CH71" t="s">
        <v>304</v>
      </c>
      <c r="CI71" t="s">
        <v>304</v>
      </c>
      <c r="CK71" t="s">
        <v>326</v>
      </c>
      <c r="CL71" t="s">
        <v>311</v>
      </c>
      <c r="CM71" t="s">
        <v>298</v>
      </c>
      <c r="CO71" t="s">
        <v>312</v>
      </c>
      <c r="CT71" t="s">
        <v>294</v>
      </c>
      <c r="CU71" t="s">
        <v>313</v>
      </c>
      <c r="CV71" t="s">
        <v>314</v>
      </c>
      <c r="CW71" t="s">
        <v>315</v>
      </c>
      <c r="CX71" t="s">
        <v>316</v>
      </c>
      <c r="CZ71" t="s">
        <v>289</v>
      </c>
      <c r="DA71" t="s">
        <v>289</v>
      </c>
      <c r="DB71" t="s">
        <v>289</v>
      </c>
      <c r="DC71" t="s">
        <v>289</v>
      </c>
      <c r="DI71" t="s">
        <v>289</v>
      </c>
      <c r="DL71" t="s">
        <v>289</v>
      </c>
      <c r="DM71" t="s">
        <v>317</v>
      </c>
      <c r="DS71" t="s">
        <v>289</v>
      </c>
      <c r="DT71" t="s">
        <v>289</v>
      </c>
      <c r="DU71" t="s">
        <v>318</v>
      </c>
      <c r="DV71" t="s">
        <v>289</v>
      </c>
      <c r="DW71" t="s">
        <v>601</v>
      </c>
      <c r="DX71" t="s">
        <v>368</v>
      </c>
      <c r="DY71" t="s">
        <v>472</v>
      </c>
      <c r="DZ71" t="s">
        <v>473</v>
      </c>
      <c r="EA71" t="s">
        <v>294</v>
      </c>
    </row>
    <row r="72" spans="1:131" x14ac:dyDescent="0.25">
      <c r="A72">
        <v>157874</v>
      </c>
      <c r="B72">
        <v>147976</v>
      </c>
      <c r="C72" t="str">
        <f>"101211602745"</f>
        <v>101211602745</v>
      </c>
      <c r="D72" t="s">
        <v>602</v>
      </c>
      <c r="E72" t="s">
        <v>574</v>
      </c>
      <c r="G72" s="1">
        <v>40523</v>
      </c>
      <c r="I72" t="s">
        <v>286</v>
      </c>
      <c r="J72" t="s">
        <v>287</v>
      </c>
      <c r="K72" t="s">
        <v>288</v>
      </c>
      <c r="Q72" t="s">
        <v>289</v>
      </c>
      <c r="R72" t="str">
        <f>"КАЗАХСТАН, АКМОЛИНСКАЯ, КОКШЕТАУ, АУЫЛДЫҚ ОКРУГІ Красноярский, АУЫЛЫ Красный Яр, 42, 13"</f>
        <v>КАЗАХСТАН, АКМОЛИНСКАЯ, КОКШЕТАУ, АУЫЛДЫҚ ОКРУГІ Красноярский, АУЫЛЫ Красный Яр, 42, 13</v>
      </c>
      <c r="S72" t="str">
        <f>"ҚАЗАҚСТАН, АҚМОЛА, КӨКШЕТАУ, АУЫЛДЫҚ ОКРУГІ Красноярский, АУЫЛЫ Красный Яр, 42, 13"</f>
        <v>ҚАЗАҚСТАН, АҚМОЛА, КӨКШЕТАУ, АУЫЛДЫҚ ОКРУГІ Красноярский, АУЫЛЫ Красный Яр, 42, 13</v>
      </c>
      <c r="T72" t="str">
        <f>"АУЫЛДЫҚ ОКРУГІ Красноярский, АУЫЛЫ Красный Яр, 42, 13"</f>
        <v>АУЫЛДЫҚ ОКРУГІ Красноярский, АУЫЛЫ Красный Яр, 42, 13</v>
      </c>
      <c r="U72" t="str">
        <f>"АУЫЛДЫҚ ОКРУГІ Красноярский, АУЫЛЫ Красный Яр, 42, 13"</f>
        <v>АУЫЛДЫҚ ОКРУГІ Красноярский, АУЫЛЫ Красный Яр, 42, 13</v>
      </c>
      <c r="AC72" t="str">
        <f>"2018-09-03T00:00:00"</f>
        <v>2018-09-03T00:00:00</v>
      </c>
      <c r="AD72" t="str">
        <f>"3"</f>
        <v>3</v>
      </c>
      <c r="AE72" t="str">
        <f>"2024-09-01T22:55:59"</f>
        <v>2024-09-01T22:55:59</v>
      </c>
      <c r="AF72" t="str">
        <f>"2025-05-25T22:55:59"</f>
        <v>2025-05-25T22:55:59</v>
      </c>
      <c r="AG72" t="s">
        <v>290</v>
      </c>
      <c r="AH72" t="str">
        <f>"gulnur.shaimerden01@mail.ru"</f>
        <v>gulnur.shaimerden01@mail.ru</v>
      </c>
      <c r="AI72" t="s">
        <v>476</v>
      </c>
      <c r="AK72" t="s">
        <v>332</v>
      </c>
      <c r="AP72" t="s">
        <v>293</v>
      </c>
      <c r="AT72" t="s">
        <v>294</v>
      </c>
      <c r="AU72" t="s">
        <v>295</v>
      </c>
      <c r="AW72" t="s">
        <v>296</v>
      </c>
      <c r="AX72">
        <v>1</v>
      </c>
      <c r="AY72" t="s">
        <v>297</v>
      </c>
      <c r="AZ72" t="s">
        <v>298</v>
      </c>
      <c r="BA72" t="s">
        <v>349</v>
      </c>
      <c r="BE72" t="str">
        <f>"2020-08-26T17:28:33"</f>
        <v>2020-08-26T17:28:33</v>
      </c>
      <c r="BF72" t="s">
        <v>294</v>
      </c>
      <c r="BG72" t="s">
        <v>300</v>
      </c>
      <c r="BI72" t="s">
        <v>298</v>
      </c>
      <c r="BR72" t="s">
        <v>289</v>
      </c>
      <c r="BS72" t="s">
        <v>301</v>
      </c>
      <c r="BT72" t="s">
        <v>302</v>
      </c>
      <c r="BU72" t="s">
        <v>303</v>
      </c>
      <c r="BV72" t="s">
        <v>304</v>
      </c>
      <c r="BX72" t="s">
        <v>324</v>
      </c>
      <c r="BY72" t="s">
        <v>298</v>
      </c>
      <c r="BZ72" t="s">
        <v>343</v>
      </c>
      <c r="CA72">
        <v>4</v>
      </c>
      <c r="CC72" t="s">
        <v>308</v>
      </c>
      <c r="CD72" t="s">
        <v>309</v>
      </c>
      <c r="CE72" t="s">
        <v>294</v>
      </c>
      <c r="CH72" t="s">
        <v>304</v>
      </c>
      <c r="CI72" t="s">
        <v>304</v>
      </c>
      <c r="CK72" t="s">
        <v>559</v>
      </c>
      <c r="CL72" t="s">
        <v>311</v>
      </c>
      <c r="CM72" t="s">
        <v>327</v>
      </c>
      <c r="CN72" t="s">
        <v>328</v>
      </c>
      <c r="CO72" t="s">
        <v>312</v>
      </c>
      <c r="CT72" t="s">
        <v>294</v>
      </c>
      <c r="CU72" t="s">
        <v>313</v>
      </c>
      <c r="CV72" t="s">
        <v>314</v>
      </c>
      <c r="CW72" t="s">
        <v>315</v>
      </c>
      <c r="CX72" t="s">
        <v>316</v>
      </c>
      <c r="CZ72" t="s">
        <v>289</v>
      </c>
      <c r="DA72" t="s">
        <v>289</v>
      </c>
      <c r="DB72" t="s">
        <v>289</v>
      </c>
      <c r="DC72" t="s">
        <v>289</v>
      </c>
      <c r="DI72" t="s">
        <v>289</v>
      </c>
      <c r="DL72" t="s">
        <v>289</v>
      </c>
      <c r="DM72" t="s">
        <v>317</v>
      </c>
      <c r="DS72" t="s">
        <v>294</v>
      </c>
      <c r="DT72" t="s">
        <v>289</v>
      </c>
      <c r="DU72" t="s">
        <v>318</v>
      </c>
      <c r="DV72" t="s">
        <v>289</v>
      </c>
      <c r="DX72" t="s">
        <v>319</v>
      </c>
      <c r="EA72" t="s">
        <v>294</v>
      </c>
    </row>
    <row r="73" spans="1:131" x14ac:dyDescent="0.25">
      <c r="A73">
        <v>157888</v>
      </c>
      <c r="B73">
        <v>147988</v>
      </c>
      <c r="C73" t="str">
        <f>"130717601458"</f>
        <v>130717601458</v>
      </c>
      <c r="D73" t="s">
        <v>371</v>
      </c>
      <c r="E73" t="s">
        <v>603</v>
      </c>
      <c r="F73" t="s">
        <v>604</v>
      </c>
      <c r="G73" s="1">
        <v>41472</v>
      </c>
      <c r="I73" t="s">
        <v>286</v>
      </c>
      <c r="J73" t="s">
        <v>287</v>
      </c>
      <c r="K73" t="s">
        <v>288</v>
      </c>
      <c r="Q73" t="s">
        <v>289</v>
      </c>
      <c r="R73" t="str">
        <f>"КАЗАХСТАН, АКМОЛИНСКАЯ, ЗЕРЕНДИНСКИЙ РАЙОН, Зерендинский, Зеренда, 14, 4"</f>
        <v>КАЗАХСТАН, АКМОЛИНСКАЯ, ЗЕРЕНДИНСКИЙ РАЙОН, Зерендинский, Зеренда, 14, 4</v>
      </c>
      <c r="S73" t="str">
        <f>"ҚАЗАҚСТАН, АҚМОЛА, ЗЕРЕНДІ АУДАНЫ, Зерендинский, Зеренда, 14, 4"</f>
        <v>ҚАЗАҚСТАН, АҚМОЛА, ЗЕРЕНДІ АУДАНЫ, Зерендинский, Зеренда, 14, 4</v>
      </c>
      <c r="T73" t="str">
        <f>"Зерендинский, Зеренда, 14, 4"</f>
        <v>Зерендинский, Зеренда, 14, 4</v>
      </c>
      <c r="U73" t="str">
        <f>"Зерендинский, Зеренда, 14, 4"</f>
        <v>Зерендинский, Зеренда, 14, 4</v>
      </c>
      <c r="AC73" t="str">
        <f>"2018-08-29T00:00:00"</f>
        <v>2018-08-29T00:00:00</v>
      </c>
      <c r="AD73" t="str">
        <f>"61"</f>
        <v>61</v>
      </c>
      <c r="AE73" t="str">
        <f>"2024-09-01T21:29:57"</f>
        <v>2024-09-01T21:29:57</v>
      </c>
      <c r="AF73" t="str">
        <f>"2025-05-25T21:29:57"</f>
        <v>2025-05-25T21:29:57</v>
      </c>
      <c r="AG73" t="s">
        <v>290</v>
      </c>
      <c r="AI73" t="s">
        <v>291</v>
      </c>
      <c r="AK73" t="s">
        <v>465</v>
      </c>
      <c r="AP73" t="s">
        <v>293</v>
      </c>
      <c r="AT73" t="s">
        <v>294</v>
      </c>
      <c r="AU73" t="s">
        <v>295</v>
      </c>
      <c r="AW73" t="s">
        <v>296</v>
      </c>
      <c r="AX73">
        <v>2</v>
      </c>
      <c r="AY73" t="s">
        <v>297</v>
      </c>
      <c r="AZ73" t="s">
        <v>298</v>
      </c>
      <c r="BA73" t="s">
        <v>349</v>
      </c>
      <c r="BF73" t="s">
        <v>294</v>
      </c>
      <c r="BG73" t="s">
        <v>300</v>
      </c>
      <c r="BI73" t="s">
        <v>298</v>
      </c>
      <c r="BR73" t="s">
        <v>289</v>
      </c>
      <c r="BS73" t="s">
        <v>301</v>
      </c>
      <c r="BT73" t="s">
        <v>302</v>
      </c>
      <c r="BU73" t="s">
        <v>303</v>
      </c>
      <c r="BV73" t="s">
        <v>304</v>
      </c>
      <c r="BX73" t="s">
        <v>324</v>
      </c>
      <c r="BY73" t="s">
        <v>298</v>
      </c>
      <c r="BZ73" t="s">
        <v>491</v>
      </c>
      <c r="CA73" t="s">
        <v>511</v>
      </c>
      <c r="CC73" t="s">
        <v>308</v>
      </c>
      <c r="CD73" t="s">
        <v>309</v>
      </c>
      <c r="CE73" t="s">
        <v>294</v>
      </c>
      <c r="CH73" t="s">
        <v>304</v>
      </c>
      <c r="CI73" t="s">
        <v>304</v>
      </c>
      <c r="CK73" t="s">
        <v>335</v>
      </c>
      <c r="CM73" t="s">
        <v>327</v>
      </c>
      <c r="CN73" t="s">
        <v>328</v>
      </c>
      <c r="CO73" t="s">
        <v>312</v>
      </c>
      <c r="CT73" t="s">
        <v>294</v>
      </c>
      <c r="CU73" t="s">
        <v>313</v>
      </c>
      <c r="CV73" t="s">
        <v>314</v>
      </c>
      <c r="CW73" t="s">
        <v>315</v>
      </c>
      <c r="CX73" t="s">
        <v>316</v>
      </c>
      <c r="CZ73" t="s">
        <v>289</v>
      </c>
      <c r="DA73" t="s">
        <v>289</v>
      </c>
      <c r="DB73" t="s">
        <v>289</v>
      </c>
      <c r="DC73" t="s">
        <v>289</v>
      </c>
      <c r="DI73" t="s">
        <v>289</v>
      </c>
      <c r="DL73" t="s">
        <v>289</v>
      </c>
      <c r="DM73" t="s">
        <v>317</v>
      </c>
      <c r="DS73" t="s">
        <v>289</v>
      </c>
      <c r="DT73" t="s">
        <v>289</v>
      </c>
      <c r="DU73" t="s">
        <v>318</v>
      </c>
      <c r="DV73" t="s">
        <v>289</v>
      </c>
      <c r="DX73" t="s">
        <v>319</v>
      </c>
      <c r="EA73" t="s">
        <v>289</v>
      </c>
    </row>
    <row r="74" spans="1:131" x14ac:dyDescent="0.25">
      <c r="A74">
        <v>157893</v>
      </c>
      <c r="B74">
        <v>147994</v>
      </c>
      <c r="C74" t="str">
        <f>"120713602412"</f>
        <v>120713602412</v>
      </c>
      <c r="D74" t="s">
        <v>445</v>
      </c>
      <c r="E74" t="s">
        <v>449</v>
      </c>
      <c r="F74" t="s">
        <v>447</v>
      </c>
      <c r="G74" s="1">
        <v>41103</v>
      </c>
      <c r="I74" t="s">
        <v>286</v>
      </c>
      <c r="J74" t="s">
        <v>287</v>
      </c>
      <c r="K74" t="s">
        <v>288</v>
      </c>
      <c r="Q74" t="s">
        <v>289</v>
      </c>
      <c r="R74" t="str">
        <f>"КАЗАХСТАН, АКМОЛИНСКАЯ, ЗЕРЕНДИНСКИЙ РАЙОН, Зерендинский, Зеренда, 5"</f>
        <v>КАЗАХСТАН, АКМОЛИНСКАЯ, ЗЕРЕНДИНСКИЙ РАЙОН, Зерендинский, Зеренда, 5</v>
      </c>
      <c r="S74" t="str">
        <f>"ҚАЗАҚСТАН, АҚМОЛА, ЗЕРЕНДІ АУДАНЫ, Зерендинский, Зеренда, 5"</f>
        <v>ҚАЗАҚСТАН, АҚМОЛА, ЗЕРЕНДІ АУДАНЫ, Зерендинский, Зеренда, 5</v>
      </c>
      <c r="T74" t="str">
        <f>"Зерендинский, Зеренда, 5"</f>
        <v>Зерендинский, Зеренда, 5</v>
      </c>
      <c r="U74" t="str">
        <f>"Зерендинский, Зеренда, 5"</f>
        <v>Зерендинский, Зеренда, 5</v>
      </c>
      <c r="AC74" t="str">
        <f>"2018-08-29T00:00:00"</f>
        <v>2018-08-29T00:00:00</v>
      </c>
      <c r="AD74" t="str">
        <f>"61"</f>
        <v>61</v>
      </c>
      <c r="AE74" t="str">
        <f>"2024-09-01T21:30:25"</f>
        <v>2024-09-01T21:30:25</v>
      </c>
      <c r="AF74" t="str">
        <f>"2025-05-25T21:30:25"</f>
        <v>2025-05-25T21:30:25</v>
      </c>
      <c r="AG74" t="s">
        <v>290</v>
      </c>
      <c r="AI74" t="s">
        <v>476</v>
      </c>
      <c r="AK74" t="s">
        <v>465</v>
      </c>
      <c r="AP74" t="s">
        <v>293</v>
      </c>
      <c r="AT74" t="s">
        <v>294</v>
      </c>
      <c r="AU74" t="s">
        <v>295</v>
      </c>
      <c r="AW74" t="s">
        <v>296</v>
      </c>
      <c r="AX74">
        <v>2</v>
      </c>
      <c r="AY74" t="s">
        <v>297</v>
      </c>
      <c r="AZ74" t="s">
        <v>298</v>
      </c>
      <c r="BA74" t="s">
        <v>349</v>
      </c>
      <c r="BF74" t="s">
        <v>294</v>
      </c>
      <c r="BG74" t="s">
        <v>300</v>
      </c>
      <c r="BI74" t="s">
        <v>298</v>
      </c>
      <c r="BR74" t="s">
        <v>289</v>
      </c>
      <c r="BS74" t="s">
        <v>301</v>
      </c>
      <c r="BT74" t="s">
        <v>302</v>
      </c>
      <c r="BU74" t="s">
        <v>303</v>
      </c>
      <c r="BV74" t="s">
        <v>304</v>
      </c>
      <c r="BX74" t="s">
        <v>324</v>
      </c>
      <c r="BY74" t="s">
        <v>298</v>
      </c>
      <c r="BZ74" t="s">
        <v>306</v>
      </c>
      <c r="CA74" t="s">
        <v>325</v>
      </c>
      <c r="CC74" t="s">
        <v>308</v>
      </c>
      <c r="CD74" t="s">
        <v>309</v>
      </c>
      <c r="CE74" t="s">
        <v>294</v>
      </c>
      <c r="CH74" t="s">
        <v>304</v>
      </c>
      <c r="CI74" t="s">
        <v>304</v>
      </c>
      <c r="CK74" t="s">
        <v>335</v>
      </c>
      <c r="CM74" t="s">
        <v>327</v>
      </c>
      <c r="CN74" t="s">
        <v>328</v>
      </c>
      <c r="CO74" t="s">
        <v>312</v>
      </c>
      <c r="CT74" t="s">
        <v>294</v>
      </c>
      <c r="CU74" t="s">
        <v>313</v>
      </c>
      <c r="CV74" t="s">
        <v>314</v>
      </c>
      <c r="CW74" t="s">
        <v>315</v>
      </c>
      <c r="CX74" t="s">
        <v>316</v>
      </c>
      <c r="CZ74" t="s">
        <v>289</v>
      </c>
      <c r="DA74" t="s">
        <v>289</v>
      </c>
      <c r="DB74" t="s">
        <v>289</v>
      </c>
      <c r="DC74" t="s">
        <v>289</v>
      </c>
      <c r="DI74" t="s">
        <v>289</v>
      </c>
      <c r="DL74" t="s">
        <v>289</v>
      </c>
      <c r="DM74" t="s">
        <v>317</v>
      </c>
      <c r="DS74" t="s">
        <v>289</v>
      </c>
      <c r="DT74" t="s">
        <v>289</v>
      </c>
      <c r="DU74" t="s">
        <v>318</v>
      </c>
      <c r="DV74" t="s">
        <v>289</v>
      </c>
      <c r="DX74" t="s">
        <v>319</v>
      </c>
      <c r="EA74" t="s">
        <v>294</v>
      </c>
    </row>
    <row r="75" spans="1:131" x14ac:dyDescent="0.25">
      <c r="A75">
        <v>157899</v>
      </c>
      <c r="B75">
        <v>148000</v>
      </c>
      <c r="C75" t="str">
        <f>"130127504092"</f>
        <v>130127504092</v>
      </c>
      <c r="D75" t="s">
        <v>605</v>
      </c>
      <c r="E75" t="s">
        <v>606</v>
      </c>
      <c r="F75" t="s">
        <v>607</v>
      </c>
      <c r="G75" s="1">
        <v>41301</v>
      </c>
      <c r="I75" t="s">
        <v>353</v>
      </c>
      <c r="J75" t="s">
        <v>287</v>
      </c>
      <c r="K75" t="s">
        <v>288</v>
      </c>
      <c r="Q75" t="s">
        <v>289</v>
      </c>
      <c r="R75" t="str">
        <f>"КАЗАХСТАН, АКМОЛИНСКАЯ, ЗЕРЕНДИНСКИЙ РАЙОН, Викторовский, Викторовка, 24, 2"</f>
        <v>КАЗАХСТАН, АКМОЛИНСКАЯ, ЗЕРЕНДИНСКИЙ РАЙОН, Викторовский, Викторовка, 24, 2</v>
      </c>
      <c r="S75" t="str">
        <f>"ҚАЗАҚСТАН, АҚМОЛА, ЗЕРЕНДІ АУДАНЫ, Викторовский, Викторовка, 24, 2"</f>
        <v>ҚАЗАҚСТАН, АҚМОЛА, ЗЕРЕНДІ АУДАНЫ, Викторовский, Викторовка, 24, 2</v>
      </c>
      <c r="T75" t="str">
        <f>"Викторовский, Викторовка, 24, 2"</f>
        <v>Викторовский, Викторовка, 24, 2</v>
      </c>
      <c r="U75" t="str">
        <f>"Викторовский, Викторовка, 24, 2"</f>
        <v>Викторовский, Викторовка, 24, 2</v>
      </c>
      <c r="AC75" t="str">
        <f>"2018-08-29T00:00:00"</f>
        <v>2018-08-29T00:00:00</v>
      </c>
      <c r="AD75" t="str">
        <f>"61"</f>
        <v>61</v>
      </c>
      <c r="AE75" t="str">
        <f>"2024-09-01T21:30:43"</f>
        <v>2024-09-01T21:30:43</v>
      </c>
      <c r="AF75" t="str">
        <f>"2025-05-25T21:30:43"</f>
        <v>2025-05-25T21:30:43</v>
      </c>
      <c r="AG75" t="s">
        <v>290</v>
      </c>
      <c r="AI75" t="s">
        <v>476</v>
      </c>
      <c r="AK75" t="s">
        <v>465</v>
      </c>
      <c r="AP75" t="s">
        <v>293</v>
      </c>
      <c r="AT75" t="s">
        <v>294</v>
      </c>
      <c r="AU75" t="s">
        <v>295</v>
      </c>
      <c r="AW75" t="s">
        <v>296</v>
      </c>
      <c r="AX75">
        <v>2</v>
      </c>
      <c r="AY75" t="s">
        <v>297</v>
      </c>
      <c r="AZ75" t="s">
        <v>298</v>
      </c>
      <c r="BA75" t="s">
        <v>349</v>
      </c>
      <c r="BF75" t="s">
        <v>294</v>
      </c>
      <c r="BG75" t="s">
        <v>300</v>
      </c>
      <c r="BI75" t="s">
        <v>298</v>
      </c>
      <c r="BR75" t="s">
        <v>289</v>
      </c>
      <c r="BS75" t="s">
        <v>301</v>
      </c>
      <c r="BT75" t="s">
        <v>302</v>
      </c>
      <c r="BU75" t="s">
        <v>303</v>
      </c>
      <c r="BV75" t="s">
        <v>304</v>
      </c>
      <c r="BX75" t="s">
        <v>305</v>
      </c>
      <c r="BY75" t="s">
        <v>298</v>
      </c>
      <c r="BZ75" t="s">
        <v>491</v>
      </c>
      <c r="CA75" t="s">
        <v>608</v>
      </c>
      <c r="CC75" t="s">
        <v>308</v>
      </c>
      <c r="CD75" t="s">
        <v>309</v>
      </c>
      <c r="CE75" t="s">
        <v>294</v>
      </c>
      <c r="CH75" t="s">
        <v>304</v>
      </c>
      <c r="CI75" t="s">
        <v>304</v>
      </c>
      <c r="CK75" t="s">
        <v>335</v>
      </c>
      <c r="CM75" t="s">
        <v>388</v>
      </c>
      <c r="CN75" t="s">
        <v>328</v>
      </c>
      <c r="CO75" t="s">
        <v>312</v>
      </c>
      <c r="CT75" t="s">
        <v>294</v>
      </c>
      <c r="CU75" t="s">
        <v>313</v>
      </c>
      <c r="CV75" t="s">
        <v>314</v>
      </c>
      <c r="CW75" t="s">
        <v>315</v>
      </c>
      <c r="CX75" t="s">
        <v>316</v>
      </c>
      <c r="CZ75" t="s">
        <v>289</v>
      </c>
      <c r="DA75" t="s">
        <v>289</v>
      </c>
      <c r="DB75" t="s">
        <v>289</v>
      </c>
      <c r="DC75" t="s">
        <v>289</v>
      </c>
      <c r="DI75" t="s">
        <v>289</v>
      </c>
      <c r="DL75" t="s">
        <v>289</v>
      </c>
      <c r="DM75" t="s">
        <v>317</v>
      </c>
      <c r="DS75" t="s">
        <v>289</v>
      </c>
      <c r="DT75" t="s">
        <v>289</v>
      </c>
      <c r="DU75" t="s">
        <v>318</v>
      </c>
      <c r="DV75" t="s">
        <v>289</v>
      </c>
      <c r="DX75" t="s">
        <v>319</v>
      </c>
      <c r="EA75" t="s">
        <v>289</v>
      </c>
    </row>
    <row r="76" spans="1:131" x14ac:dyDescent="0.25">
      <c r="A76">
        <v>157957</v>
      </c>
      <c r="B76">
        <v>148048</v>
      </c>
      <c r="C76" t="str">
        <f>"120315600680"</f>
        <v>120315600680</v>
      </c>
      <c r="D76" t="s">
        <v>609</v>
      </c>
      <c r="E76" t="s">
        <v>330</v>
      </c>
      <c r="F76" t="s">
        <v>610</v>
      </c>
      <c r="G76" s="1">
        <v>40983</v>
      </c>
      <c r="I76" t="s">
        <v>286</v>
      </c>
      <c r="J76" t="s">
        <v>287</v>
      </c>
      <c r="K76" t="s">
        <v>288</v>
      </c>
      <c r="Q76" t="s">
        <v>289</v>
      </c>
      <c r="R76" t="str">
        <f>"КАЗАХСТАН, АКМОЛИНСКАЯ, ЗЕРЕНДИНСКИЙ РАЙОН, УЛЬГУЛИ, 2, 1"</f>
        <v>КАЗАХСТАН, АКМОЛИНСКАЯ, ЗЕРЕНДИНСКИЙ РАЙОН, УЛЬГУЛИ, 2, 1</v>
      </c>
      <c r="S76" t="str">
        <f>"ҚАЗАҚСТАН, АҚМОЛА, ЗЕРЕНДІ АУДАНЫ, УЛЬГУЛИ, 2, 1"</f>
        <v>ҚАЗАҚСТАН, АҚМОЛА, ЗЕРЕНДІ АУДАНЫ, УЛЬГУЛИ, 2, 1</v>
      </c>
      <c r="T76" t="str">
        <f>"УЛЬГУЛИ, 2, 1"</f>
        <v>УЛЬГУЛИ, 2, 1</v>
      </c>
      <c r="U76" t="str">
        <f>"УЛЬГУЛИ, 2, 1"</f>
        <v>УЛЬГУЛИ, 2, 1</v>
      </c>
      <c r="AC76" t="str">
        <f>"2018-06-01T00:00:00"</f>
        <v>2018-06-01T00:00:00</v>
      </c>
      <c r="AD76" t="str">
        <f>"26"</f>
        <v>26</v>
      </c>
      <c r="AE76" t="str">
        <f>"2024-09-01T22:46:02"</f>
        <v>2024-09-01T22:46:02</v>
      </c>
      <c r="AF76" t="str">
        <f>"2025-05-25T22:46:02"</f>
        <v>2025-05-25T22:46:02</v>
      </c>
      <c r="AG76" t="s">
        <v>290</v>
      </c>
      <c r="AI76" t="s">
        <v>476</v>
      </c>
      <c r="AK76" t="s">
        <v>292</v>
      </c>
      <c r="AP76" t="s">
        <v>293</v>
      </c>
      <c r="AT76" t="s">
        <v>294</v>
      </c>
      <c r="AU76" t="s">
        <v>295</v>
      </c>
      <c r="AW76" t="s">
        <v>296</v>
      </c>
      <c r="AX76">
        <v>2</v>
      </c>
      <c r="AY76" t="s">
        <v>297</v>
      </c>
      <c r="AZ76" t="s">
        <v>298</v>
      </c>
      <c r="BA76" t="s">
        <v>349</v>
      </c>
      <c r="BF76" t="s">
        <v>294</v>
      </c>
      <c r="BG76" t="s">
        <v>300</v>
      </c>
      <c r="BI76" t="s">
        <v>298</v>
      </c>
      <c r="BR76" t="s">
        <v>289</v>
      </c>
      <c r="BS76" t="s">
        <v>433</v>
      </c>
      <c r="BT76" t="s">
        <v>434</v>
      </c>
      <c r="BU76" t="s">
        <v>303</v>
      </c>
      <c r="BV76" t="s">
        <v>304</v>
      </c>
      <c r="BX76" t="s">
        <v>324</v>
      </c>
      <c r="BY76" t="s">
        <v>298</v>
      </c>
      <c r="BZ76" t="s">
        <v>306</v>
      </c>
      <c r="CA76" t="s">
        <v>325</v>
      </c>
      <c r="CC76" t="s">
        <v>308</v>
      </c>
      <c r="CD76" t="s">
        <v>309</v>
      </c>
      <c r="CE76" t="s">
        <v>294</v>
      </c>
      <c r="CH76" t="s">
        <v>304</v>
      </c>
      <c r="CI76" t="s">
        <v>304</v>
      </c>
      <c r="CK76" t="s">
        <v>580</v>
      </c>
      <c r="CL76" t="s">
        <v>311</v>
      </c>
      <c r="CM76" t="s">
        <v>611</v>
      </c>
      <c r="CN76" t="s">
        <v>311</v>
      </c>
      <c r="CO76" t="s">
        <v>312</v>
      </c>
      <c r="CT76" t="s">
        <v>294</v>
      </c>
      <c r="CU76" t="s">
        <v>313</v>
      </c>
      <c r="CV76" t="s">
        <v>314</v>
      </c>
      <c r="CW76" t="s">
        <v>315</v>
      </c>
      <c r="CX76" t="s">
        <v>316</v>
      </c>
      <c r="CZ76" t="s">
        <v>289</v>
      </c>
      <c r="DA76" t="s">
        <v>289</v>
      </c>
      <c r="DB76" t="s">
        <v>289</v>
      </c>
      <c r="DC76" t="s">
        <v>289</v>
      </c>
      <c r="DI76" t="s">
        <v>289</v>
      </c>
      <c r="DL76" t="s">
        <v>289</v>
      </c>
      <c r="DM76" t="s">
        <v>317</v>
      </c>
      <c r="DS76" t="s">
        <v>289</v>
      </c>
      <c r="DT76" t="s">
        <v>289</v>
      </c>
      <c r="DU76" t="s">
        <v>318</v>
      </c>
      <c r="DV76" t="s">
        <v>289</v>
      </c>
      <c r="DX76" t="s">
        <v>319</v>
      </c>
      <c r="EA76" t="s">
        <v>289</v>
      </c>
    </row>
    <row r="77" spans="1:131" x14ac:dyDescent="0.25">
      <c r="A77">
        <v>157963</v>
      </c>
      <c r="B77">
        <v>148054</v>
      </c>
      <c r="C77" t="str">
        <f>"121130504595"</f>
        <v>121130504595</v>
      </c>
      <c r="D77" t="s">
        <v>477</v>
      </c>
      <c r="E77" t="s">
        <v>612</v>
      </c>
      <c r="F77" t="s">
        <v>475</v>
      </c>
      <c r="G77" s="1">
        <v>41243</v>
      </c>
      <c r="I77" t="s">
        <v>353</v>
      </c>
      <c r="J77" t="s">
        <v>287</v>
      </c>
      <c r="K77" t="s">
        <v>288</v>
      </c>
      <c r="Q77" t="s">
        <v>289</v>
      </c>
      <c r="R77" t="str">
        <f>"КАЗАХСТАН, АКМОЛИНСКАЯ, ЗЕРЕНДИНСКИЙ РАЙОН, Зерендинский, Зеренда, 95"</f>
        <v>КАЗАХСТАН, АКМОЛИНСКАЯ, ЗЕРЕНДИНСКИЙ РАЙОН, Зерендинский, Зеренда, 95</v>
      </c>
      <c r="S77" t="str">
        <f>"ҚАЗАҚСТАН, АҚМОЛА, ЗЕРЕНДІ АУДАНЫ, Зерендинский, Зеренда, 95"</f>
        <v>ҚАЗАҚСТАН, АҚМОЛА, ЗЕРЕНДІ АУДАНЫ, Зерендинский, Зеренда, 95</v>
      </c>
      <c r="T77" t="str">
        <f>"Зерендинский, Зеренда, 95"</f>
        <v>Зерендинский, Зеренда, 95</v>
      </c>
      <c r="U77" t="str">
        <f>"Зерендинский, Зеренда, 95"</f>
        <v>Зерендинский, Зеренда, 95</v>
      </c>
      <c r="AC77" t="str">
        <f>"2018-08-29T00:00:00"</f>
        <v>2018-08-29T00:00:00</v>
      </c>
      <c r="AD77" t="str">
        <f>"61"</f>
        <v>61</v>
      </c>
      <c r="AE77" t="str">
        <f>"2024-09-01T21:31:27"</f>
        <v>2024-09-01T21:31:27</v>
      </c>
      <c r="AF77" t="str">
        <f>"2025-05-25T21:31:27"</f>
        <v>2025-05-25T21:31:27</v>
      </c>
      <c r="AG77" t="s">
        <v>290</v>
      </c>
      <c r="AI77" t="s">
        <v>291</v>
      </c>
      <c r="AK77" t="s">
        <v>465</v>
      </c>
      <c r="AP77" t="s">
        <v>342</v>
      </c>
      <c r="AT77" t="s">
        <v>294</v>
      </c>
      <c r="AU77" t="s">
        <v>295</v>
      </c>
      <c r="AW77" t="s">
        <v>296</v>
      </c>
      <c r="AX77">
        <v>2</v>
      </c>
      <c r="AY77" t="s">
        <v>297</v>
      </c>
      <c r="AZ77" t="s">
        <v>298</v>
      </c>
      <c r="BA77" t="s">
        <v>349</v>
      </c>
      <c r="BF77" t="s">
        <v>294</v>
      </c>
      <c r="BG77" t="s">
        <v>300</v>
      </c>
      <c r="BI77" t="s">
        <v>298</v>
      </c>
      <c r="BR77" t="s">
        <v>289</v>
      </c>
      <c r="BS77" t="s">
        <v>301</v>
      </c>
      <c r="BT77" t="s">
        <v>302</v>
      </c>
      <c r="BU77" t="s">
        <v>303</v>
      </c>
      <c r="BV77" t="s">
        <v>304</v>
      </c>
      <c r="BX77" t="s">
        <v>305</v>
      </c>
      <c r="BY77" t="s">
        <v>298</v>
      </c>
      <c r="BZ77" t="s">
        <v>306</v>
      </c>
      <c r="CA77" t="s">
        <v>325</v>
      </c>
      <c r="CC77" t="s">
        <v>308</v>
      </c>
      <c r="CD77" t="s">
        <v>309</v>
      </c>
      <c r="CE77" t="s">
        <v>294</v>
      </c>
      <c r="CH77" t="s">
        <v>304</v>
      </c>
      <c r="CI77" t="s">
        <v>304</v>
      </c>
      <c r="CK77" t="s">
        <v>335</v>
      </c>
      <c r="CM77" t="s">
        <v>388</v>
      </c>
      <c r="CN77" t="s">
        <v>328</v>
      </c>
      <c r="CO77" t="s">
        <v>312</v>
      </c>
      <c r="CT77" t="s">
        <v>294</v>
      </c>
      <c r="CU77" t="s">
        <v>313</v>
      </c>
      <c r="CV77" t="s">
        <v>314</v>
      </c>
      <c r="CW77" t="s">
        <v>315</v>
      </c>
      <c r="CX77" t="s">
        <v>316</v>
      </c>
      <c r="CZ77" t="s">
        <v>289</v>
      </c>
      <c r="DA77" t="s">
        <v>289</v>
      </c>
      <c r="DB77" t="s">
        <v>289</v>
      </c>
      <c r="DC77" t="s">
        <v>289</v>
      </c>
      <c r="DI77" t="s">
        <v>289</v>
      </c>
      <c r="DL77" t="s">
        <v>289</v>
      </c>
      <c r="DM77" t="s">
        <v>317</v>
      </c>
      <c r="DS77" t="s">
        <v>289</v>
      </c>
      <c r="DT77" t="s">
        <v>289</v>
      </c>
      <c r="DU77" t="s">
        <v>318</v>
      </c>
      <c r="DV77" t="s">
        <v>289</v>
      </c>
      <c r="DX77" t="s">
        <v>319</v>
      </c>
      <c r="EA77" t="s">
        <v>294</v>
      </c>
    </row>
    <row r="78" spans="1:131" x14ac:dyDescent="0.25">
      <c r="A78">
        <v>157969</v>
      </c>
      <c r="B78">
        <v>148060</v>
      </c>
      <c r="C78" t="str">
        <f>"120525500616"</f>
        <v>120525500616</v>
      </c>
      <c r="D78" t="s">
        <v>613</v>
      </c>
      <c r="E78" t="s">
        <v>614</v>
      </c>
      <c r="F78" t="s">
        <v>615</v>
      </c>
      <c r="G78" s="1">
        <v>41054</v>
      </c>
      <c r="I78" t="s">
        <v>353</v>
      </c>
      <c r="J78" t="s">
        <v>287</v>
      </c>
      <c r="K78" t="s">
        <v>288</v>
      </c>
      <c r="Q78" t="s">
        <v>289</v>
      </c>
      <c r="R78" t="str">
        <f>"КАЗАХСТАН, АКМОЛИНСКАЯ, ЗЕРЕНДИНСКИЙ РАЙОН, Зерендинский, Зеренда, 53"</f>
        <v>КАЗАХСТАН, АКМОЛИНСКАЯ, ЗЕРЕНДИНСКИЙ РАЙОН, Зерендинский, Зеренда, 53</v>
      </c>
      <c r="S78" t="str">
        <f>"ҚАЗАҚСТАН, АҚМОЛА, ЗЕРЕНДІ АУДАНЫ, Зерендинский, Зеренда, 53"</f>
        <v>ҚАЗАҚСТАН, АҚМОЛА, ЗЕРЕНДІ АУДАНЫ, Зерендинский, Зеренда, 53</v>
      </c>
      <c r="T78" t="str">
        <f>"Зерендинский, Зеренда, 53"</f>
        <v>Зерендинский, Зеренда, 53</v>
      </c>
      <c r="U78" t="str">
        <f>"Зерендинский, Зеренда, 53"</f>
        <v>Зерендинский, Зеренда, 53</v>
      </c>
      <c r="AC78" t="str">
        <f>"2018-08-29T00:00:00"</f>
        <v>2018-08-29T00:00:00</v>
      </c>
      <c r="AD78" t="str">
        <f>"61"</f>
        <v>61</v>
      </c>
      <c r="AE78" t="str">
        <f>"2024-09-01T21:33:48"</f>
        <v>2024-09-01T21:33:48</v>
      </c>
      <c r="AF78" t="str">
        <f>"2025-05-25T21:33:48"</f>
        <v>2025-05-25T21:33:48</v>
      </c>
      <c r="AG78" t="s">
        <v>290</v>
      </c>
      <c r="AI78" t="s">
        <v>476</v>
      </c>
      <c r="AK78" t="s">
        <v>465</v>
      </c>
      <c r="AP78" t="s">
        <v>293</v>
      </c>
      <c r="AT78" t="s">
        <v>294</v>
      </c>
      <c r="AU78" t="s">
        <v>295</v>
      </c>
      <c r="AW78" t="s">
        <v>296</v>
      </c>
      <c r="AX78">
        <v>2</v>
      </c>
      <c r="AY78" t="s">
        <v>297</v>
      </c>
      <c r="AZ78" t="s">
        <v>298</v>
      </c>
      <c r="BA78" t="s">
        <v>349</v>
      </c>
      <c r="BE78" t="str">
        <f>"2020-08-26T15:19:34"</f>
        <v>2020-08-26T15:19:34</v>
      </c>
      <c r="BF78" t="s">
        <v>294</v>
      </c>
      <c r="BG78" t="s">
        <v>300</v>
      </c>
      <c r="BI78" t="s">
        <v>298</v>
      </c>
      <c r="BR78" t="s">
        <v>289</v>
      </c>
      <c r="BS78" t="s">
        <v>301</v>
      </c>
      <c r="BT78" t="s">
        <v>302</v>
      </c>
      <c r="BU78" t="s">
        <v>303</v>
      </c>
      <c r="BV78" t="s">
        <v>365</v>
      </c>
      <c r="BX78" t="s">
        <v>305</v>
      </c>
      <c r="BY78" t="s">
        <v>298</v>
      </c>
      <c r="BZ78" t="s">
        <v>491</v>
      </c>
      <c r="CA78" t="s">
        <v>492</v>
      </c>
      <c r="CC78" t="s">
        <v>308</v>
      </c>
      <c r="CD78" t="s">
        <v>309</v>
      </c>
      <c r="CE78" t="s">
        <v>294</v>
      </c>
      <c r="CH78" t="s">
        <v>304</v>
      </c>
      <c r="CI78" t="s">
        <v>304</v>
      </c>
      <c r="CK78" t="s">
        <v>382</v>
      </c>
      <c r="CL78" t="s">
        <v>328</v>
      </c>
      <c r="CM78" t="s">
        <v>507</v>
      </c>
      <c r="CN78" t="s">
        <v>328</v>
      </c>
      <c r="CO78" t="s">
        <v>312</v>
      </c>
      <c r="CT78" t="s">
        <v>294</v>
      </c>
      <c r="CU78" t="s">
        <v>313</v>
      </c>
      <c r="CV78" t="s">
        <v>314</v>
      </c>
      <c r="CW78" t="s">
        <v>315</v>
      </c>
      <c r="CX78" t="s">
        <v>316</v>
      </c>
      <c r="CZ78" t="s">
        <v>289</v>
      </c>
      <c r="DA78" t="s">
        <v>289</v>
      </c>
      <c r="DB78" t="s">
        <v>289</v>
      </c>
      <c r="DC78" t="s">
        <v>289</v>
      </c>
      <c r="DI78" t="s">
        <v>289</v>
      </c>
      <c r="DL78" t="s">
        <v>289</v>
      </c>
      <c r="DM78" t="s">
        <v>376</v>
      </c>
      <c r="DN78" t="s">
        <v>304</v>
      </c>
      <c r="DP78" t="str">
        <f>"1759"</f>
        <v>1759</v>
      </c>
      <c r="DR78" t="str">
        <f>"2020-11-25T00:00:00"</f>
        <v>2020-11-25T00:00:00</v>
      </c>
      <c r="DS78" t="s">
        <v>289</v>
      </c>
      <c r="DT78" t="s">
        <v>289</v>
      </c>
      <c r="DU78" t="s">
        <v>318</v>
      </c>
      <c r="DV78" t="s">
        <v>289</v>
      </c>
      <c r="DW78" t="s">
        <v>601</v>
      </c>
      <c r="DX78" t="s">
        <v>368</v>
      </c>
      <c r="DY78" t="s">
        <v>472</v>
      </c>
      <c r="DZ78" t="s">
        <v>473</v>
      </c>
      <c r="EA78" t="s">
        <v>289</v>
      </c>
    </row>
    <row r="79" spans="1:131" x14ac:dyDescent="0.25">
      <c r="A79">
        <v>157977</v>
      </c>
      <c r="B79">
        <v>148064</v>
      </c>
      <c r="C79" t="str">
        <f>"130103600789"</f>
        <v>130103600789</v>
      </c>
      <c r="D79" t="s">
        <v>523</v>
      </c>
      <c r="E79" t="s">
        <v>616</v>
      </c>
      <c r="F79" t="s">
        <v>617</v>
      </c>
      <c r="G79" s="1">
        <v>41277</v>
      </c>
      <c r="I79" t="s">
        <v>286</v>
      </c>
      <c r="J79" t="s">
        <v>287</v>
      </c>
      <c r="K79" t="s">
        <v>288</v>
      </c>
      <c r="Q79" t="s">
        <v>289</v>
      </c>
      <c r="R79" t="str">
        <f>"КАЗАХСТАН, АКМОЛИНСКАЯ, ЗЕРЕНДИНСКИЙ РАЙОН, Малика Габдуллина, Серафимовка, 2, 1"</f>
        <v>КАЗАХСТАН, АКМОЛИНСКАЯ, ЗЕРЕНДИНСКИЙ РАЙОН, Малика Габдуллина, Серафимовка, 2, 1</v>
      </c>
      <c r="S79" t="str">
        <f>"ҚАЗАҚСТАН, АҚМОЛА, ЗЕРЕНДІ АУДАНЫ, Малика Габдуллина, Серафимовка, 2, 1"</f>
        <v>ҚАЗАҚСТАН, АҚМОЛА, ЗЕРЕНДІ АУДАНЫ, Малика Габдуллина, Серафимовка, 2, 1</v>
      </c>
      <c r="T79" t="str">
        <f>"Малика Габдуллина, Серафимовка, 2, 1"</f>
        <v>Малика Габдуллина, Серафимовка, 2, 1</v>
      </c>
      <c r="U79" t="str">
        <f>"Малика Габдуллина, Серафимовка, 2, 1"</f>
        <v>Малика Габдуллина, Серафимовка, 2, 1</v>
      </c>
      <c r="AC79" t="str">
        <f>"2018-08-29T00:00:00"</f>
        <v>2018-08-29T00:00:00</v>
      </c>
      <c r="AD79" t="str">
        <f>"61"</f>
        <v>61</v>
      </c>
      <c r="AE79" t="str">
        <f>"2024-09-01T21:32:38"</f>
        <v>2024-09-01T21:32:38</v>
      </c>
      <c r="AF79" t="str">
        <f>"2025-05-25T21:32:38"</f>
        <v>2025-05-25T21:32:38</v>
      </c>
      <c r="AG79" t="s">
        <v>290</v>
      </c>
      <c r="AI79" t="s">
        <v>476</v>
      </c>
      <c r="AK79" t="s">
        <v>465</v>
      </c>
      <c r="AP79" t="s">
        <v>342</v>
      </c>
      <c r="AT79" t="s">
        <v>294</v>
      </c>
      <c r="AU79" t="s">
        <v>295</v>
      </c>
      <c r="AW79" t="s">
        <v>296</v>
      </c>
      <c r="AX79">
        <v>2</v>
      </c>
      <c r="AY79" t="s">
        <v>297</v>
      </c>
      <c r="AZ79" t="s">
        <v>298</v>
      </c>
      <c r="BA79" t="s">
        <v>349</v>
      </c>
      <c r="BE79" t="str">
        <f>"2020-08-26T17:14:17"</f>
        <v>2020-08-26T17:14:17</v>
      </c>
      <c r="BF79" t="s">
        <v>294</v>
      </c>
      <c r="BG79" t="s">
        <v>300</v>
      </c>
      <c r="BI79" t="s">
        <v>298</v>
      </c>
      <c r="BR79" t="s">
        <v>289</v>
      </c>
      <c r="BS79" t="s">
        <v>301</v>
      </c>
      <c r="BT79" t="s">
        <v>302</v>
      </c>
      <c r="BU79" t="s">
        <v>303</v>
      </c>
      <c r="BV79" t="s">
        <v>304</v>
      </c>
      <c r="BX79" t="s">
        <v>324</v>
      </c>
      <c r="BY79" t="s">
        <v>298</v>
      </c>
      <c r="BZ79" t="s">
        <v>306</v>
      </c>
      <c r="CA79" t="s">
        <v>325</v>
      </c>
      <c r="CC79" t="s">
        <v>308</v>
      </c>
      <c r="CD79" t="s">
        <v>309</v>
      </c>
      <c r="CE79" t="s">
        <v>294</v>
      </c>
      <c r="CH79" t="s">
        <v>304</v>
      </c>
      <c r="CI79" t="s">
        <v>304</v>
      </c>
      <c r="CK79" t="s">
        <v>335</v>
      </c>
      <c r="CM79" t="s">
        <v>327</v>
      </c>
      <c r="CN79" t="s">
        <v>328</v>
      </c>
      <c r="CO79" t="s">
        <v>312</v>
      </c>
      <c r="CT79" t="s">
        <v>294</v>
      </c>
      <c r="CU79" t="s">
        <v>313</v>
      </c>
      <c r="CV79" t="s">
        <v>314</v>
      </c>
      <c r="CW79" t="s">
        <v>315</v>
      </c>
      <c r="CX79" t="s">
        <v>316</v>
      </c>
      <c r="CZ79" t="s">
        <v>289</v>
      </c>
      <c r="DA79" t="s">
        <v>289</v>
      </c>
      <c r="DB79" t="s">
        <v>289</v>
      </c>
      <c r="DC79" t="s">
        <v>289</v>
      </c>
      <c r="DI79" t="s">
        <v>289</v>
      </c>
      <c r="DL79" t="s">
        <v>289</v>
      </c>
      <c r="DM79" t="s">
        <v>317</v>
      </c>
      <c r="DS79" t="s">
        <v>289</v>
      </c>
      <c r="DT79" t="s">
        <v>289</v>
      </c>
      <c r="DU79" t="s">
        <v>318</v>
      </c>
      <c r="DV79" t="s">
        <v>289</v>
      </c>
      <c r="DX79" t="s">
        <v>319</v>
      </c>
      <c r="EA79" t="s">
        <v>294</v>
      </c>
    </row>
    <row r="80" spans="1:131" x14ac:dyDescent="0.25">
      <c r="A80">
        <v>157983</v>
      </c>
      <c r="B80">
        <v>148071</v>
      </c>
      <c r="C80" t="str">
        <f>"130411501389"</f>
        <v>130411501389</v>
      </c>
      <c r="D80" t="s">
        <v>383</v>
      </c>
      <c r="E80" t="s">
        <v>618</v>
      </c>
      <c r="F80" t="s">
        <v>385</v>
      </c>
      <c r="G80" s="1">
        <v>41375</v>
      </c>
      <c r="I80" t="s">
        <v>353</v>
      </c>
      <c r="J80" t="s">
        <v>287</v>
      </c>
      <c r="K80" t="s">
        <v>288</v>
      </c>
      <c r="Q80" t="s">
        <v>289</v>
      </c>
      <c r="R80" t="str">
        <f>"КАЗАХСТАН, АКМОЛИНСКАЯ, ЗЕРЕНДИНСКИЙ РАЙОН, ЗЕРЕНДІ, 22"</f>
        <v>КАЗАХСТАН, АКМОЛИНСКАЯ, ЗЕРЕНДИНСКИЙ РАЙОН, ЗЕРЕНДІ, 22</v>
      </c>
      <c r="S80" t="str">
        <f>"ҚАЗАҚСТАН, АҚМОЛА, ЗЕРЕНДІ АУДАНЫ, ЗЕРЕНДІ, 22"</f>
        <v>ҚАЗАҚСТАН, АҚМОЛА, ЗЕРЕНДІ АУДАНЫ, ЗЕРЕНДІ, 22</v>
      </c>
      <c r="T80" t="str">
        <f>"ЗЕРЕНДІ, 22"</f>
        <v>ЗЕРЕНДІ, 22</v>
      </c>
      <c r="U80" t="str">
        <f>"ЗЕРЕНДІ, 22"</f>
        <v>ЗЕРЕНДІ, 22</v>
      </c>
      <c r="AC80" t="str">
        <f>"2018-08-29T00:00:00"</f>
        <v>2018-08-29T00:00:00</v>
      </c>
      <c r="AD80" t="str">
        <f>"61"</f>
        <v>61</v>
      </c>
      <c r="AE80" t="str">
        <f>"2024-09-01T21:32:39"</f>
        <v>2024-09-01T21:32:39</v>
      </c>
      <c r="AF80" t="str">
        <f>"2025-05-25T21:32:39"</f>
        <v>2025-05-25T21:32:39</v>
      </c>
      <c r="AG80" t="s">
        <v>290</v>
      </c>
      <c r="AI80" t="s">
        <v>373</v>
      </c>
      <c r="AK80" t="s">
        <v>465</v>
      </c>
      <c r="AP80" t="s">
        <v>342</v>
      </c>
      <c r="AT80" t="s">
        <v>294</v>
      </c>
      <c r="AU80" t="s">
        <v>295</v>
      </c>
      <c r="AW80" t="s">
        <v>296</v>
      </c>
      <c r="AX80">
        <v>2</v>
      </c>
      <c r="AY80" t="s">
        <v>297</v>
      </c>
      <c r="AZ80" t="s">
        <v>298</v>
      </c>
      <c r="BA80" t="s">
        <v>349</v>
      </c>
      <c r="BF80" t="s">
        <v>294</v>
      </c>
      <c r="BG80" t="s">
        <v>300</v>
      </c>
      <c r="BI80" t="s">
        <v>298</v>
      </c>
      <c r="BR80" t="s">
        <v>289</v>
      </c>
      <c r="BS80" t="s">
        <v>301</v>
      </c>
      <c r="BT80" t="s">
        <v>302</v>
      </c>
      <c r="BU80" t="s">
        <v>303</v>
      </c>
      <c r="BV80" t="s">
        <v>304</v>
      </c>
      <c r="BX80" t="s">
        <v>324</v>
      </c>
      <c r="BY80" t="s">
        <v>298</v>
      </c>
      <c r="BZ80" t="s">
        <v>306</v>
      </c>
      <c r="CA80" t="s">
        <v>325</v>
      </c>
      <c r="CC80" t="s">
        <v>308</v>
      </c>
      <c r="CD80" t="s">
        <v>309</v>
      </c>
      <c r="CE80" t="s">
        <v>294</v>
      </c>
      <c r="CH80" t="s">
        <v>304</v>
      </c>
      <c r="CI80" t="s">
        <v>304</v>
      </c>
      <c r="CK80" t="s">
        <v>335</v>
      </c>
      <c r="CM80" t="s">
        <v>388</v>
      </c>
      <c r="CN80" t="s">
        <v>328</v>
      </c>
      <c r="CO80" t="s">
        <v>312</v>
      </c>
      <c r="CT80" t="s">
        <v>294</v>
      </c>
      <c r="CU80" t="s">
        <v>313</v>
      </c>
      <c r="CV80" t="s">
        <v>314</v>
      </c>
      <c r="CW80" t="s">
        <v>315</v>
      </c>
      <c r="CX80" t="s">
        <v>316</v>
      </c>
      <c r="CZ80" t="s">
        <v>289</v>
      </c>
      <c r="DA80" t="s">
        <v>289</v>
      </c>
      <c r="DB80" t="s">
        <v>289</v>
      </c>
      <c r="DC80" t="s">
        <v>289</v>
      </c>
      <c r="DI80" t="s">
        <v>289</v>
      </c>
      <c r="DL80" t="s">
        <v>289</v>
      </c>
      <c r="DM80" t="s">
        <v>317</v>
      </c>
      <c r="DS80" t="s">
        <v>289</v>
      </c>
      <c r="DT80" t="s">
        <v>289</v>
      </c>
      <c r="DU80" t="s">
        <v>318</v>
      </c>
      <c r="DV80" t="s">
        <v>289</v>
      </c>
      <c r="DX80" t="s">
        <v>319</v>
      </c>
      <c r="EA80" t="s">
        <v>289</v>
      </c>
    </row>
    <row r="81" spans="1:131" x14ac:dyDescent="0.25">
      <c r="A81">
        <v>10154803</v>
      </c>
      <c r="B81">
        <v>31774</v>
      </c>
      <c r="C81" t="str">
        <f>"100601653424"</f>
        <v>100601653424</v>
      </c>
      <c r="D81" t="s">
        <v>619</v>
      </c>
      <c r="E81" t="s">
        <v>620</v>
      </c>
      <c r="F81" t="s">
        <v>621</v>
      </c>
      <c r="G81" s="1">
        <v>40330</v>
      </c>
      <c r="I81" t="s">
        <v>286</v>
      </c>
      <c r="J81" t="s">
        <v>287</v>
      </c>
      <c r="K81" t="s">
        <v>288</v>
      </c>
      <c r="Q81" t="s">
        <v>289</v>
      </c>
      <c r="R81" t="str">
        <f>"КАЗАХСТАН, АКМОЛИНСКАЯ, БУРАБАЙСКИЙ РАЙОН, Златопольский, Тулькули, 1П"</f>
        <v>КАЗАХСТАН, АКМОЛИНСКАЯ, БУРАБАЙСКИЙ РАЙОН, Златопольский, Тулькули, 1П</v>
      </c>
      <c r="S81" t="str">
        <f>"ҚАЗАҚСТАН, АҚМОЛА, БУРАБАЙ, Златопольский, Тулькули, 1П"</f>
        <v>ҚАЗАҚСТАН, АҚМОЛА, БУРАБАЙ, Златопольский, Тулькули, 1П</v>
      </c>
      <c r="T81" t="str">
        <f>"Златопольский, Тулькули, 1П"</f>
        <v>Златопольский, Тулькули, 1П</v>
      </c>
      <c r="U81" t="str">
        <f>"Златопольский, Тулькули, 1П"</f>
        <v>Златопольский, Тулькули, 1П</v>
      </c>
      <c r="AC81" t="str">
        <f>"2018-12-10T00:00:00"</f>
        <v>2018-12-10T00:00:00</v>
      </c>
      <c r="AD81" t="str">
        <f>"29"</f>
        <v>29</v>
      </c>
      <c r="AE81" t="str">
        <f>"2024-09-01T18:20:11"</f>
        <v>2024-09-01T18:20:11</v>
      </c>
      <c r="AF81" t="str">
        <f>"2025-05-25T18:20:11"</f>
        <v>2025-05-25T18:20:11</v>
      </c>
      <c r="AG81" t="s">
        <v>622</v>
      </c>
      <c r="AH81" t="str">
        <f>"Tuganai10@mail.ru"</f>
        <v>Tuganai10@mail.ru</v>
      </c>
      <c r="AI81" t="s">
        <v>291</v>
      </c>
      <c r="AK81" t="s">
        <v>402</v>
      </c>
      <c r="AP81" t="s">
        <v>293</v>
      </c>
      <c r="AT81" t="s">
        <v>294</v>
      </c>
      <c r="AU81" t="s">
        <v>295</v>
      </c>
      <c r="AW81" t="s">
        <v>296</v>
      </c>
      <c r="AX81">
        <v>1</v>
      </c>
      <c r="AY81" t="s">
        <v>297</v>
      </c>
      <c r="AZ81" t="s">
        <v>298</v>
      </c>
      <c r="BA81" t="s">
        <v>349</v>
      </c>
      <c r="BE81" t="str">
        <f>"2020-08-26T15:30:15"</f>
        <v>2020-08-26T15:30:15</v>
      </c>
      <c r="BF81" t="s">
        <v>294</v>
      </c>
      <c r="BG81" t="s">
        <v>300</v>
      </c>
      <c r="BI81" t="s">
        <v>298</v>
      </c>
      <c r="BR81" t="s">
        <v>289</v>
      </c>
      <c r="BS81" t="s">
        <v>301</v>
      </c>
      <c r="BT81" t="s">
        <v>302</v>
      </c>
      <c r="BU81" t="s">
        <v>303</v>
      </c>
      <c r="BV81" t="s">
        <v>304</v>
      </c>
      <c r="BX81" t="s">
        <v>324</v>
      </c>
      <c r="BY81" t="s">
        <v>298</v>
      </c>
      <c r="BZ81" t="s">
        <v>403</v>
      </c>
      <c r="CA81" t="s">
        <v>410</v>
      </c>
      <c r="CC81" t="s">
        <v>308</v>
      </c>
      <c r="CD81" t="s">
        <v>309</v>
      </c>
      <c r="CE81" t="s">
        <v>294</v>
      </c>
      <c r="CH81" t="s">
        <v>304</v>
      </c>
      <c r="CI81" t="s">
        <v>304</v>
      </c>
      <c r="CK81" t="s">
        <v>471</v>
      </c>
      <c r="CL81" t="s">
        <v>328</v>
      </c>
      <c r="CM81" t="s">
        <v>298</v>
      </c>
      <c r="CO81" t="s">
        <v>312</v>
      </c>
      <c r="CT81" t="s">
        <v>294</v>
      </c>
      <c r="CU81" t="s">
        <v>405</v>
      </c>
      <c r="CW81" t="s">
        <v>406</v>
      </c>
      <c r="CX81" t="s">
        <v>316</v>
      </c>
      <c r="CZ81" t="s">
        <v>289</v>
      </c>
      <c r="DA81" t="s">
        <v>289</v>
      </c>
      <c r="DB81" t="s">
        <v>289</v>
      </c>
      <c r="DC81" t="s">
        <v>289</v>
      </c>
      <c r="DI81" t="s">
        <v>289</v>
      </c>
      <c r="DL81" t="s">
        <v>289</v>
      </c>
      <c r="DM81" t="s">
        <v>317</v>
      </c>
      <c r="DS81" t="s">
        <v>289</v>
      </c>
      <c r="DT81" t="s">
        <v>289</v>
      </c>
      <c r="DU81" t="s">
        <v>318</v>
      </c>
      <c r="DV81" t="s">
        <v>289</v>
      </c>
      <c r="DX81" t="s">
        <v>319</v>
      </c>
      <c r="EA81" t="s">
        <v>289</v>
      </c>
    </row>
    <row r="82" spans="1:131" x14ac:dyDescent="0.25">
      <c r="A82">
        <v>10382500</v>
      </c>
      <c r="B82">
        <v>141735</v>
      </c>
      <c r="C82" t="str">
        <f>"091226651237"</f>
        <v>091226651237</v>
      </c>
      <c r="D82" t="s">
        <v>623</v>
      </c>
      <c r="E82" t="s">
        <v>624</v>
      </c>
      <c r="G82" s="1">
        <v>40173</v>
      </c>
      <c r="I82" t="s">
        <v>286</v>
      </c>
      <c r="J82" t="s">
        <v>287</v>
      </c>
      <c r="K82" t="s">
        <v>288</v>
      </c>
      <c r="Q82" t="s">
        <v>289</v>
      </c>
      <c r="R82" t="str">
        <f>"КАЗАХСТАН, АКМОЛИНСКАЯ, ЗЕРЕНДИНСКИЙ РАЙОН, ЗЕРЕНДІ, 23"</f>
        <v>КАЗАХСТАН, АКМОЛИНСКАЯ, ЗЕРЕНДИНСКИЙ РАЙОН, ЗЕРЕНДІ, 23</v>
      </c>
      <c r="S82" t="str">
        <f>"ҚАЗАҚСТАН, АҚМОЛА, ЗЕРЕНДІ АУДАНЫ, ЗЕРЕНДІ, 23"</f>
        <v>ҚАЗАҚСТАН, АҚМОЛА, ЗЕРЕНДІ АУДАНЫ, ЗЕРЕНДІ, 23</v>
      </c>
      <c r="T82" t="str">
        <f>"ЗЕРЕНДІ, 23"</f>
        <v>ЗЕРЕНДІ, 23</v>
      </c>
      <c r="U82" t="str">
        <f>"ЗЕРЕНДІ, 23"</f>
        <v>ЗЕРЕНДІ, 23</v>
      </c>
      <c r="AC82" t="str">
        <f>"2018-11-30T00:00:00"</f>
        <v>2018-11-30T00:00:00</v>
      </c>
      <c r="AD82" t="str">
        <f>"28"</f>
        <v>28</v>
      </c>
      <c r="AE82" t="str">
        <f>"2024-09-01T18:21:00"</f>
        <v>2024-09-01T18:21:00</v>
      </c>
      <c r="AF82" t="str">
        <f>"2025-05-25T18:21:00"</f>
        <v>2025-05-25T18:21:00</v>
      </c>
      <c r="AG82" t="s">
        <v>290</v>
      </c>
      <c r="AH82" t="str">
        <f>"Aksunkar10@mail.ru"</f>
        <v>Aksunkar10@mail.ru</v>
      </c>
      <c r="AI82" t="s">
        <v>476</v>
      </c>
      <c r="AK82" t="s">
        <v>402</v>
      </c>
      <c r="AP82" t="s">
        <v>293</v>
      </c>
      <c r="AT82" t="s">
        <v>294</v>
      </c>
      <c r="AU82" t="s">
        <v>295</v>
      </c>
      <c r="AW82" t="s">
        <v>296</v>
      </c>
      <c r="AX82">
        <v>1</v>
      </c>
      <c r="AY82" t="s">
        <v>297</v>
      </c>
      <c r="AZ82" t="s">
        <v>298</v>
      </c>
      <c r="BA82" t="s">
        <v>299</v>
      </c>
      <c r="BF82" t="s">
        <v>294</v>
      </c>
      <c r="BG82" t="s">
        <v>300</v>
      </c>
      <c r="BI82" t="s">
        <v>298</v>
      </c>
      <c r="BR82" t="s">
        <v>289</v>
      </c>
      <c r="BS82" t="s">
        <v>301</v>
      </c>
      <c r="BT82" t="s">
        <v>302</v>
      </c>
      <c r="BU82" t="s">
        <v>303</v>
      </c>
      <c r="BV82" t="s">
        <v>365</v>
      </c>
      <c r="BX82" t="s">
        <v>305</v>
      </c>
      <c r="BY82" t="s">
        <v>298</v>
      </c>
      <c r="BZ82" t="s">
        <v>403</v>
      </c>
      <c r="CA82" t="s">
        <v>454</v>
      </c>
      <c r="CC82" t="s">
        <v>308</v>
      </c>
      <c r="CD82" t="s">
        <v>309</v>
      </c>
      <c r="CE82" t="s">
        <v>294</v>
      </c>
      <c r="CH82" t="s">
        <v>304</v>
      </c>
      <c r="CI82" t="s">
        <v>304</v>
      </c>
      <c r="CK82" t="s">
        <v>335</v>
      </c>
      <c r="CM82" t="s">
        <v>625</v>
      </c>
      <c r="CN82" t="s">
        <v>487</v>
      </c>
      <c r="CO82" t="s">
        <v>312</v>
      </c>
      <c r="CT82" t="s">
        <v>294</v>
      </c>
      <c r="CU82" t="s">
        <v>405</v>
      </c>
      <c r="CW82" t="s">
        <v>406</v>
      </c>
      <c r="CX82" t="s">
        <v>316</v>
      </c>
      <c r="CZ82" t="s">
        <v>289</v>
      </c>
      <c r="DA82" t="s">
        <v>289</v>
      </c>
      <c r="DB82" t="s">
        <v>289</v>
      </c>
      <c r="DC82" t="s">
        <v>289</v>
      </c>
      <c r="DI82" t="s">
        <v>289</v>
      </c>
      <c r="DL82" t="s">
        <v>289</v>
      </c>
      <c r="DM82" t="s">
        <v>626</v>
      </c>
      <c r="DN82" t="s">
        <v>304</v>
      </c>
      <c r="DS82" t="s">
        <v>289</v>
      </c>
      <c r="DT82" t="s">
        <v>289</v>
      </c>
      <c r="DU82" t="s">
        <v>318</v>
      </c>
      <c r="DV82" t="s">
        <v>289</v>
      </c>
      <c r="DX82" t="s">
        <v>368</v>
      </c>
      <c r="DY82" t="s">
        <v>472</v>
      </c>
      <c r="DZ82" t="s">
        <v>473</v>
      </c>
      <c r="EA82" t="s">
        <v>294</v>
      </c>
    </row>
    <row r="83" spans="1:131" x14ac:dyDescent="0.25">
      <c r="A83">
        <v>12808321</v>
      </c>
      <c r="B83">
        <v>545898</v>
      </c>
      <c r="C83" t="str">
        <f>"131011602778"</f>
        <v>131011602778</v>
      </c>
      <c r="D83" t="s">
        <v>627</v>
      </c>
      <c r="E83" t="s">
        <v>378</v>
      </c>
      <c r="F83" t="s">
        <v>541</v>
      </c>
      <c r="G83" s="1">
        <v>41558</v>
      </c>
      <c r="I83" t="s">
        <v>286</v>
      </c>
      <c r="J83" t="s">
        <v>287</v>
      </c>
      <c r="K83" t="s">
        <v>288</v>
      </c>
      <c r="Q83" t="s">
        <v>289</v>
      </c>
      <c r="R83" t="str">
        <f>"КАЗАХСТАН, АКМОЛИНСКАЯ, ЗЕРЕНДИНСКИЙ РАЙОН, ЗЕРЕНДІ, 6, 2"</f>
        <v>КАЗАХСТАН, АКМОЛИНСКАЯ, ЗЕРЕНДИНСКИЙ РАЙОН, ЗЕРЕНДІ, 6, 2</v>
      </c>
      <c r="S83" t="str">
        <f>"ҚАЗАҚСТАН, АҚМОЛА, ЗЕРЕНДІ АУДАНЫ, ЗЕРЕНДІ, 6, 2"</f>
        <v>ҚАЗАҚСТАН, АҚМОЛА, ЗЕРЕНДІ АУДАНЫ, ЗЕРЕНДІ, 6, 2</v>
      </c>
      <c r="T83" t="str">
        <f>"ЗЕРЕНДІ, 6, 2"</f>
        <v>ЗЕРЕНДІ, 6, 2</v>
      </c>
      <c r="U83" t="str">
        <f>"ЗЕРЕНДІ, 6, 2"</f>
        <v>ЗЕРЕНДІ, 6, 2</v>
      </c>
      <c r="AC83" t="str">
        <f>"2019-08-28T00:00:00"</f>
        <v>2019-08-28T00:00:00</v>
      </c>
      <c r="AD83" t="str">
        <f>"76"</f>
        <v>76</v>
      </c>
      <c r="AE83" t="str">
        <f>"2024-09-01T21:33:23"</f>
        <v>2024-09-01T21:33:23</v>
      </c>
      <c r="AF83" t="str">
        <f>"2025-05-25T21:33:23"</f>
        <v>2025-05-25T21:33:23</v>
      </c>
      <c r="AG83" t="s">
        <v>290</v>
      </c>
      <c r="AI83" t="s">
        <v>291</v>
      </c>
      <c r="AK83" t="s">
        <v>465</v>
      </c>
      <c r="AP83" t="s">
        <v>293</v>
      </c>
      <c r="AT83" t="s">
        <v>294</v>
      </c>
      <c r="AU83" t="s">
        <v>295</v>
      </c>
      <c r="AW83" t="s">
        <v>296</v>
      </c>
      <c r="AX83">
        <v>2</v>
      </c>
      <c r="AY83" t="s">
        <v>297</v>
      </c>
      <c r="AZ83" t="s">
        <v>298</v>
      </c>
      <c r="BA83" t="s">
        <v>490</v>
      </c>
      <c r="BE83" t="str">
        <f>"2020-08-26T15:22:20"</f>
        <v>2020-08-26T15:22:20</v>
      </c>
      <c r="BF83" t="s">
        <v>294</v>
      </c>
      <c r="BG83" t="s">
        <v>300</v>
      </c>
      <c r="BI83" t="s">
        <v>298</v>
      </c>
      <c r="BR83" t="s">
        <v>289</v>
      </c>
      <c r="BS83" t="s">
        <v>301</v>
      </c>
      <c r="BT83" t="s">
        <v>302</v>
      </c>
      <c r="BU83" t="s">
        <v>303</v>
      </c>
      <c r="BV83" t="s">
        <v>304</v>
      </c>
      <c r="BX83" t="s">
        <v>305</v>
      </c>
      <c r="BY83" t="s">
        <v>298</v>
      </c>
      <c r="BZ83" t="s">
        <v>491</v>
      </c>
      <c r="CA83" t="s">
        <v>492</v>
      </c>
      <c r="CC83" t="s">
        <v>308</v>
      </c>
      <c r="CD83" t="s">
        <v>309</v>
      </c>
      <c r="CE83" t="s">
        <v>294</v>
      </c>
      <c r="CH83" t="s">
        <v>304</v>
      </c>
      <c r="CI83" t="s">
        <v>304</v>
      </c>
      <c r="CK83" t="s">
        <v>467</v>
      </c>
      <c r="CL83" t="s">
        <v>328</v>
      </c>
      <c r="CM83" t="s">
        <v>298</v>
      </c>
      <c r="CO83" t="s">
        <v>312</v>
      </c>
      <c r="CT83" t="s">
        <v>294</v>
      </c>
      <c r="CU83" t="s">
        <v>313</v>
      </c>
      <c r="CV83" t="s">
        <v>314</v>
      </c>
      <c r="CW83" t="s">
        <v>315</v>
      </c>
      <c r="CX83" t="s">
        <v>316</v>
      </c>
      <c r="CZ83" t="s">
        <v>289</v>
      </c>
      <c r="DA83" t="s">
        <v>289</v>
      </c>
      <c r="DB83" t="s">
        <v>289</v>
      </c>
      <c r="DC83" t="s">
        <v>289</v>
      </c>
      <c r="DI83" t="s">
        <v>289</v>
      </c>
      <c r="DL83" t="s">
        <v>289</v>
      </c>
      <c r="DM83" t="s">
        <v>317</v>
      </c>
      <c r="DS83" t="s">
        <v>289</v>
      </c>
      <c r="DT83" t="s">
        <v>289</v>
      </c>
      <c r="DU83" t="s">
        <v>318</v>
      </c>
      <c r="DV83" t="s">
        <v>289</v>
      </c>
      <c r="DW83" t="s">
        <v>601</v>
      </c>
      <c r="DX83" t="s">
        <v>319</v>
      </c>
      <c r="DY83" t="s">
        <v>369</v>
      </c>
      <c r="EA83" t="s">
        <v>289</v>
      </c>
    </row>
    <row r="84" spans="1:131" x14ac:dyDescent="0.25">
      <c r="A84">
        <v>12809665</v>
      </c>
      <c r="B84">
        <v>546789</v>
      </c>
      <c r="C84" t="str">
        <f>"130624500814"</f>
        <v>130624500814</v>
      </c>
      <c r="D84" t="s">
        <v>628</v>
      </c>
      <c r="E84" t="s">
        <v>629</v>
      </c>
      <c r="F84" t="s">
        <v>630</v>
      </c>
      <c r="G84" s="1">
        <v>41449</v>
      </c>
      <c r="I84" t="s">
        <v>353</v>
      </c>
      <c r="J84" t="s">
        <v>287</v>
      </c>
      <c r="K84" t="s">
        <v>288</v>
      </c>
      <c r="Q84" t="s">
        <v>289</v>
      </c>
      <c r="R84" t="str">
        <f>"КАЗАХСТАН, АКМОЛИНСКАЯ, ЗЕРЕНДИНСКИЙ РАЙОН, Викторовский, Викторовка, 34"</f>
        <v>КАЗАХСТАН, АКМОЛИНСКАЯ, ЗЕРЕНДИНСКИЙ РАЙОН, Викторовский, Викторовка, 34</v>
      </c>
      <c r="S84" t="str">
        <f>"ҚАЗАҚСТАН, АҚМОЛА, ЗЕРЕНДІ АУДАНЫ, Викторовский, Викторовка, 34"</f>
        <v>ҚАЗАҚСТАН, АҚМОЛА, ЗЕРЕНДІ АУДАНЫ, Викторовский, Викторовка, 34</v>
      </c>
      <c r="T84" t="str">
        <f>"Викторовский, Викторовка, 34"</f>
        <v>Викторовский, Викторовка, 34</v>
      </c>
      <c r="U84" t="str">
        <f>"Викторовский, Викторовка, 34"</f>
        <v>Викторовский, Викторовка, 34</v>
      </c>
      <c r="AC84" t="str">
        <f>"2019-07-25T00:00:00"</f>
        <v>2019-07-25T00:00:00</v>
      </c>
      <c r="AD84" t="str">
        <f>"49"</f>
        <v>49</v>
      </c>
      <c r="AE84" t="str">
        <f>"2024-09-01T21:34:54"</f>
        <v>2024-09-01T21:34:54</v>
      </c>
      <c r="AF84" t="str">
        <f>"2025-05-25T21:34:54"</f>
        <v>2025-05-25T21:34:54</v>
      </c>
      <c r="AG84" t="s">
        <v>290</v>
      </c>
      <c r="AI84" t="s">
        <v>373</v>
      </c>
      <c r="AK84" t="s">
        <v>465</v>
      </c>
      <c r="AP84" t="s">
        <v>342</v>
      </c>
      <c r="AT84" t="s">
        <v>294</v>
      </c>
      <c r="AU84" t="s">
        <v>295</v>
      </c>
      <c r="AW84" t="s">
        <v>296</v>
      </c>
      <c r="AX84">
        <v>2</v>
      </c>
      <c r="AY84" t="s">
        <v>297</v>
      </c>
      <c r="AZ84" t="s">
        <v>298</v>
      </c>
      <c r="BA84" t="s">
        <v>349</v>
      </c>
      <c r="BF84" t="s">
        <v>294</v>
      </c>
      <c r="BG84" t="s">
        <v>300</v>
      </c>
      <c r="BI84" t="s">
        <v>298</v>
      </c>
      <c r="BR84" t="s">
        <v>289</v>
      </c>
      <c r="BS84" t="s">
        <v>301</v>
      </c>
      <c r="BT84" t="s">
        <v>302</v>
      </c>
      <c r="BU84" t="s">
        <v>303</v>
      </c>
      <c r="BV84" t="s">
        <v>304</v>
      </c>
      <c r="BX84" t="s">
        <v>392</v>
      </c>
      <c r="BY84" t="s">
        <v>298</v>
      </c>
      <c r="BZ84" t="s">
        <v>306</v>
      </c>
      <c r="CA84" t="s">
        <v>393</v>
      </c>
      <c r="CC84" t="s">
        <v>308</v>
      </c>
      <c r="CD84" t="s">
        <v>309</v>
      </c>
      <c r="CE84" t="s">
        <v>294</v>
      </c>
      <c r="CH84" t="s">
        <v>304</v>
      </c>
      <c r="CI84" t="s">
        <v>304</v>
      </c>
      <c r="CK84" t="s">
        <v>335</v>
      </c>
      <c r="CM84" t="s">
        <v>631</v>
      </c>
      <c r="CN84" t="s">
        <v>487</v>
      </c>
      <c r="CO84" t="s">
        <v>312</v>
      </c>
      <c r="CT84" t="s">
        <v>294</v>
      </c>
      <c r="CU84" t="s">
        <v>313</v>
      </c>
      <c r="CV84" t="s">
        <v>314</v>
      </c>
      <c r="CW84" t="s">
        <v>315</v>
      </c>
      <c r="CX84" t="s">
        <v>316</v>
      </c>
      <c r="CZ84" t="s">
        <v>289</v>
      </c>
      <c r="DA84" t="s">
        <v>289</v>
      </c>
      <c r="DB84" t="s">
        <v>289</v>
      </c>
      <c r="DC84" t="s">
        <v>289</v>
      </c>
      <c r="DI84" t="s">
        <v>289</v>
      </c>
      <c r="DL84" t="s">
        <v>289</v>
      </c>
      <c r="DM84" t="s">
        <v>317</v>
      </c>
      <c r="DS84" t="s">
        <v>289</v>
      </c>
      <c r="DT84" t="s">
        <v>289</v>
      </c>
      <c r="DU84" t="s">
        <v>318</v>
      </c>
      <c r="DV84" t="s">
        <v>289</v>
      </c>
      <c r="DX84" t="s">
        <v>319</v>
      </c>
      <c r="EA84" t="s">
        <v>289</v>
      </c>
    </row>
    <row r="85" spans="1:131" x14ac:dyDescent="0.25">
      <c r="A85">
        <v>12873713</v>
      </c>
      <c r="B85">
        <v>561665</v>
      </c>
      <c r="C85" t="str">
        <f>"121125501464"</f>
        <v>121125501464</v>
      </c>
      <c r="D85" t="s">
        <v>599</v>
      </c>
      <c r="E85" t="s">
        <v>632</v>
      </c>
      <c r="F85" t="s">
        <v>633</v>
      </c>
      <c r="G85" s="1">
        <v>41238</v>
      </c>
      <c r="I85" t="s">
        <v>353</v>
      </c>
      <c r="J85" t="s">
        <v>287</v>
      </c>
      <c r="K85" t="s">
        <v>288</v>
      </c>
      <c r="Q85" t="s">
        <v>289</v>
      </c>
      <c r="R85" t="str">
        <f>"КАЗАХСТАН, АКМОЛИНСКАЯ, ЗЕРЕНДИНСКИЙ РАЙОН, Зерендинский, Зеренда, 3, 4"</f>
        <v>КАЗАХСТАН, АКМОЛИНСКАЯ, ЗЕРЕНДИНСКИЙ РАЙОН, Зерендинский, Зеренда, 3, 4</v>
      </c>
      <c r="S85" t="str">
        <f>"ҚАЗАҚСТАН, АҚМОЛА, ЗЕРЕНДІ АУДАНЫ, Зерендинский, Зеренда, 3, 4"</f>
        <v>ҚАЗАҚСТАН, АҚМОЛА, ЗЕРЕНДІ АУДАНЫ, Зерендинский, Зеренда, 3, 4</v>
      </c>
      <c r="T85" t="str">
        <f>"Зерендинский, Зеренда, 3, 4"</f>
        <v>Зерендинский, Зеренда, 3, 4</v>
      </c>
      <c r="U85" t="str">
        <f>"Зерендинский, Зеренда, 3, 4"</f>
        <v>Зерендинский, Зеренда, 3, 4</v>
      </c>
      <c r="AC85" t="str">
        <f>"2020-07-17T00:00:00"</f>
        <v>2020-07-17T00:00:00</v>
      </c>
      <c r="AD85" t="str">
        <f>"34"</f>
        <v>34</v>
      </c>
      <c r="AE85" t="str">
        <f>"2024-09-01T11:45:54"</f>
        <v>2024-09-01T11:45:54</v>
      </c>
      <c r="AF85" t="str">
        <f>"2025-05-25T11:45:54"</f>
        <v>2025-05-25T11:45:54</v>
      </c>
      <c r="AG85" t="s">
        <v>290</v>
      </c>
      <c r="AI85" t="s">
        <v>558</v>
      </c>
      <c r="AK85" t="s">
        <v>634</v>
      </c>
      <c r="AP85" t="s">
        <v>293</v>
      </c>
      <c r="AT85" t="s">
        <v>294</v>
      </c>
      <c r="AU85" t="s">
        <v>295</v>
      </c>
      <c r="AW85" t="s">
        <v>296</v>
      </c>
      <c r="AX85">
        <v>2</v>
      </c>
      <c r="AY85" t="s">
        <v>297</v>
      </c>
      <c r="AZ85" t="s">
        <v>298</v>
      </c>
      <c r="BA85" t="s">
        <v>349</v>
      </c>
      <c r="BF85" t="s">
        <v>294</v>
      </c>
      <c r="BG85" t="s">
        <v>300</v>
      </c>
      <c r="BI85" t="s">
        <v>298</v>
      </c>
      <c r="BR85" t="s">
        <v>289</v>
      </c>
      <c r="BS85" t="s">
        <v>301</v>
      </c>
      <c r="BT85" t="s">
        <v>302</v>
      </c>
      <c r="BU85" t="s">
        <v>303</v>
      </c>
      <c r="BV85" t="s">
        <v>365</v>
      </c>
      <c r="BX85" t="s">
        <v>305</v>
      </c>
      <c r="BY85" t="s">
        <v>298</v>
      </c>
      <c r="BZ85" t="s">
        <v>306</v>
      </c>
      <c r="CA85" t="s">
        <v>374</v>
      </c>
      <c r="CC85" t="s">
        <v>308</v>
      </c>
      <c r="CD85" t="s">
        <v>309</v>
      </c>
      <c r="CE85" t="s">
        <v>294</v>
      </c>
      <c r="CH85" t="s">
        <v>304</v>
      </c>
      <c r="CI85" t="s">
        <v>304</v>
      </c>
      <c r="CK85" t="s">
        <v>471</v>
      </c>
      <c r="CL85" t="s">
        <v>328</v>
      </c>
      <c r="CM85" t="s">
        <v>298</v>
      </c>
      <c r="CO85" t="s">
        <v>312</v>
      </c>
      <c r="CT85" t="s">
        <v>294</v>
      </c>
      <c r="CU85" t="s">
        <v>313</v>
      </c>
      <c r="CV85" t="s">
        <v>314</v>
      </c>
      <c r="CW85" t="s">
        <v>315</v>
      </c>
      <c r="CX85" t="s">
        <v>316</v>
      </c>
      <c r="CZ85" t="s">
        <v>289</v>
      </c>
      <c r="DA85" t="s">
        <v>289</v>
      </c>
      <c r="DB85" t="s">
        <v>289</v>
      </c>
      <c r="DC85" t="s">
        <v>289</v>
      </c>
      <c r="DI85" t="s">
        <v>289</v>
      </c>
      <c r="DL85" t="s">
        <v>289</v>
      </c>
      <c r="DM85" t="s">
        <v>317</v>
      </c>
      <c r="DS85" t="s">
        <v>289</v>
      </c>
      <c r="DT85" t="s">
        <v>289</v>
      </c>
      <c r="DU85" t="s">
        <v>318</v>
      </c>
      <c r="DV85" t="s">
        <v>289</v>
      </c>
      <c r="DW85" t="s">
        <v>601</v>
      </c>
      <c r="DX85" t="s">
        <v>368</v>
      </c>
      <c r="DY85" t="s">
        <v>472</v>
      </c>
      <c r="DZ85" t="s">
        <v>473</v>
      </c>
      <c r="EA85" t="s">
        <v>294</v>
      </c>
    </row>
    <row r="86" spans="1:131" x14ac:dyDescent="0.25">
      <c r="A86">
        <v>12873910</v>
      </c>
      <c r="B86">
        <v>546234</v>
      </c>
      <c r="C86" t="str">
        <f>"131210504343"</f>
        <v>131210504343</v>
      </c>
      <c r="D86" t="s">
        <v>635</v>
      </c>
      <c r="E86" t="s">
        <v>583</v>
      </c>
      <c r="F86" t="s">
        <v>636</v>
      </c>
      <c r="G86" s="1">
        <v>41618</v>
      </c>
      <c r="I86" t="s">
        <v>353</v>
      </c>
      <c r="J86" t="s">
        <v>287</v>
      </c>
      <c r="K86" t="s">
        <v>288</v>
      </c>
      <c r="Q86" t="s">
        <v>289</v>
      </c>
      <c r="R86" t="str">
        <f>"КАЗАХСТАН, АКМОЛИНСКАЯ, ЗЕРЕНДИНСКИЙ РАЙОН, ЗЕРЕНДІ, 14, 1"</f>
        <v>КАЗАХСТАН, АКМОЛИНСКАЯ, ЗЕРЕНДИНСКИЙ РАЙОН, ЗЕРЕНДІ, 14, 1</v>
      </c>
      <c r="S86" t="str">
        <f>"ҚАЗАҚСТАН, АҚМОЛА, ЗЕРЕНДІ АУДАНЫ, ЗЕРЕНДІ, 14, 1"</f>
        <v>ҚАЗАҚСТАН, АҚМОЛА, ЗЕРЕНДІ АУДАНЫ, ЗЕРЕНДІ, 14, 1</v>
      </c>
      <c r="T86" t="str">
        <f>"ЗЕРЕНДІ, 14, 1"</f>
        <v>ЗЕРЕНДІ, 14, 1</v>
      </c>
      <c r="U86" t="str">
        <f>"ЗЕРЕНДІ, 14, 1"</f>
        <v>ЗЕРЕНДІ, 14, 1</v>
      </c>
      <c r="AC86" t="str">
        <f>"2020-07-16T00:00:00"</f>
        <v>2020-07-16T00:00:00</v>
      </c>
      <c r="AD86" t="str">
        <f>"33"</f>
        <v>33</v>
      </c>
      <c r="AE86" t="str">
        <f>"2024-09-01T21:15:22"</f>
        <v>2024-09-01T21:15:22</v>
      </c>
      <c r="AF86" t="str">
        <f>"2025-05-25T21:15:22"</f>
        <v>2025-05-25T21:15:22</v>
      </c>
      <c r="AG86" t="s">
        <v>290</v>
      </c>
      <c r="AI86" t="s">
        <v>291</v>
      </c>
      <c r="AK86" t="s">
        <v>634</v>
      </c>
      <c r="AP86" t="s">
        <v>342</v>
      </c>
      <c r="AT86" t="s">
        <v>294</v>
      </c>
      <c r="AU86" t="s">
        <v>295</v>
      </c>
      <c r="AW86" t="s">
        <v>296</v>
      </c>
      <c r="AX86">
        <v>2</v>
      </c>
      <c r="AY86" t="s">
        <v>297</v>
      </c>
      <c r="AZ86" t="s">
        <v>298</v>
      </c>
      <c r="BA86" t="s">
        <v>299</v>
      </c>
      <c r="BF86" t="s">
        <v>294</v>
      </c>
      <c r="BG86" t="s">
        <v>300</v>
      </c>
      <c r="BI86" t="s">
        <v>298</v>
      </c>
      <c r="BR86" t="s">
        <v>289</v>
      </c>
      <c r="BS86" t="s">
        <v>301</v>
      </c>
      <c r="BT86" t="s">
        <v>302</v>
      </c>
      <c r="BU86" t="s">
        <v>303</v>
      </c>
      <c r="BV86" t="s">
        <v>304</v>
      </c>
      <c r="BX86" t="s">
        <v>324</v>
      </c>
      <c r="BY86" t="s">
        <v>298</v>
      </c>
      <c r="BZ86" t="s">
        <v>306</v>
      </c>
      <c r="CA86" t="s">
        <v>325</v>
      </c>
      <c r="CC86" t="s">
        <v>308</v>
      </c>
      <c r="CD86" t="s">
        <v>309</v>
      </c>
      <c r="CE86" t="s">
        <v>294</v>
      </c>
      <c r="CH86" t="s">
        <v>304</v>
      </c>
      <c r="CI86" t="s">
        <v>304</v>
      </c>
      <c r="CK86" t="s">
        <v>467</v>
      </c>
      <c r="CL86" t="s">
        <v>328</v>
      </c>
      <c r="CM86" t="s">
        <v>637</v>
      </c>
      <c r="CN86" t="s">
        <v>345</v>
      </c>
      <c r="CO86" t="s">
        <v>312</v>
      </c>
      <c r="CT86" t="s">
        <v>294</v>
      </c>
      <c r="CU86" t="s">
        <v>313</v>
      </c>
      <c r="CV86" t="s">
        <v>314</v>
      </c>
      <c r="CW86" t="s">
        <v>315</v>
      </c>
      <c r="CX86" t="s">
        <v>316</v>
      </c>
      <c r="CZ86" t="s">
        <v>289</v>
      </c>
      <c r="DA86" t="s">
        <v>289</v>
      </c>
      <c r="DB86" t="s">
        <v>289</v>
      </c>
      <c r="DC86" t="s">
        <v>289</v>
      </c>
      <c r="DI86" t="s">
        <v>289</v>
      </c>
      <c r="DL86" t="s">
        <v>289</v>
      </c>
      <c r="DM86" t="s">
        <v>317</v>
      </c>
      <c r="DS86" t="s">
        <v>289</v>
      </c>
      <c r="DT86" t="s">
        <v>289</v>
      </c>
      <c r="DU86" t="s">
        <v>318</v>
      </c>
      <c r="DV86" t="s">
        <v>289</v>
      </c>
      <c r="DX86" t="s">
        <v>319</v>
      </c>
      <c r="EA86" t="s">
        <v>289</v>
      </c>
    </row>
    <row r="87" spans="1:131" x14ac:dyDescent="0.25">
      <c r="A87">
        <v>12874104</v>
      </c>
      <c r="B87">
        <v>956447</v>
      </c>
      <c r="C87" t="str">
        <f>"140119502282"</f>
        <v>140119502282</v>
      </c>
      <c r="D87" t="s">
        <v>576</v>
      </c>
      <c r="E87" t="s">
        <v>638</v>
      </c>
      <c r="F87" t="s">
        <v>578</v>
      </c>
      <c r="G87" s="1">
        <v>41658</v>
      </c>
      <c r="I87" t="s">
        <v>353</v>
      </c>
      <c r="J87" t="s">
        <v>287</v>
      </c>
      <c r="K87" t="s">
        <v>288</v>
      </c>
      <c r="Q87" t="s">
        <v>289</v>
      </c>
      <c r="R87" t="str">
        <f>"КАЗАХСТАН, АКМОЛИНСКАЯ, ЗЕРЕНДИНСКИЙ РАЙОН, ЗЕРЕНДІ, 6, 2"</f>
        <v>КАЗАХСТАН, АКМОЛИНСКАЯ, ЗЕРЕНДИНСКИЙ РАЙОН, ЗЕРЕНДІ, 6, 2</v>
      </c>
      <c r="S87" t="str">
        <f>"ҚАЗАҚСТАН, АҚМОЛА, ЗЕРЕНДІ АУДАНЫ, ЗЕРЕНДІ, 6, 2"</f>
        <v>ҚАЗАҚСТАН, АҚМОЛА, ЗЕРЕНДІ АУДАНЫ, ЗЕРЕНДІ, 6, 2</v>
      </c>
      <c r="T87" t="str">
        <f>"ЗЕРЕНДІ, 6, 2"</f>
        <v>ЗЕРЕНДІ, 6, 2</v>
      </c>
      <c r="U87" t="str">
        <f>"ЗЕРЕНДІ, 6, 2"</f>
        <v>ЗЕРЕНДІ, 6, 2</v>
      </c>
      <c r="AC87" t="str">
        <f>"2020-07-16T00:00:00"</f>
        <v>2020-07-16T00:00:00</v>
      </c>
      <c r="AD87" t="str">
        <f>"33"</f>
        <v>33</v>
      </c>
      <c r="AE87" t="str">
        <f>"2024-09-01T21:16:48"</f>
        <v>2024-09-01T21:16:48</v>
      </c>
      <c r="AF87" t="str">
        <f>"2025-05-25T21:16:48"</f>
        <v>2025-05-25T21:16:48</v>
      </c>
      <c r="AG87" t="s">
        <v>290</v>
      </c>
      <c r="AI87" t="s">
        <v>373</v>
      </c>
      <c r="AK87" t="s">
        <v>634</v>
      </c>
      <c r="AP87" t="s">
        <v>342</v>
      </c>
      <c r="AT87" t="s">
        <v>294</v>
      </c>
      <c r="AU87" t="s">
        <v>295</v>
      </c>
      <c r="AW87" t="s">
        <v>296</v>
      </c>
      <c r="AX87">
        <v>2</v>
      </c>
      <c r="AY87" t="s">
        <v>297</v>
      </c>
      <c r="AZ87" t="s">
        <v>298</v>
      </c>
      <c r="BA87" t="s">
        <v>349</v>
      </c>
      <c r="BF87" t="s">
        <v>294</v>
      </c>
      <c r="BG87" t="s">
        <v>300</v>
      </c>
      <c r="BI87" t="s">
        <v>298</v>
      </c>
      <c r="BR87" t="s">
        <v>289</v>
      </c>
      <c r="BS87" t="s">
        <v>301</v>
      </c>
      <c r="BT87" t="s">
        <v>302</v>
      </c>
      <c r="BU87" t="s">
        <v>303</v>
      </c>
      <c r="BV87" t="s">
        <v>304</v>
      </c>
      <c r="BX87" t="s">
        <v>324</v>
      </c>
      <c r="BY87" t="s">
        <v>298</v>
      </c>
      <c r="BZ87" t="s">
        <v>306</v>
      </c>
      <c r="CA87" t="s">
        <v>325</v>
      </c>
      <c r="CC87" t="s">
        <v>308</v>
      </c>
      <c r="CD87" t="s">
        <v>309</v>
      </c>
      <c r="CE87" t="s">
        <v>294</v>
      </c>
      <c r="CH87" t="s">
        <v>304</v>
      </c>
      <c r="CI87" t="s">
        <v>304</v>
      </c>
      <c r="CK87" t="s">
        <v>467</v>
      </c>
      <c r="CL87" t="s">
        <v>328</v>
      </c>
      <c r="CM87" t="s">
        <v>298</v>
      </c>
      <c r="CO87" t="s">
        <v>312</v>
      </c>
      <c r="CT87" t="s">
        <v>294</v>
      </c>
      <c r="CU87" t="s">
        <v>313</v>
      </c>
      <c r="CV87" t="s">
        <v>314</v>
      </c>
      <c r="CW87" t="s">
        <v>315</v>
      </c>
      <c r="CX87" t="s">
        <v>316</v>
      </c>
      <c r="CZ87" t="s">
        <v>289</v>
      </c>
      <c r="DA87" t="s">
        <v>289</v>
      </c>
      <c r="DB87" t="s">
        <v>289</v>
      </c>
      <c r="DC87" t="s">
        <v>289</v>
      </c>
      <c r="DI87" t="s">
        <v>289</v>
      </c>
      <c r="DL87" t="s">
        <v>289</v>
      </c>
      <c r="DM87" t="s">
        <v>317</v>
      </c>
      <c r="DS87" t="s">
        <v>289</v>
      </c>
      <c r="DT87" t="s">
        <v>289</v>
      </c>
      <c r="DU87" t="s">
        <v>318</v>
      </c>
      <c r="DV87" t="s">
        <v>289</v>
      </c>
      <c r="DX87" t="s">
        <v>319</v>
      </c>
      <c r="EA87" t="s">
        <v>294</v>
      </c>
    </row>
    <row r="88" spans="1:131" x14ac:dyDescent="0.25">
      <c r="A88">
        <v>12874389</v>
      </c>
      <c r="B88">
        <v>547943</v>
      </c>
      <c r="C88" t="str">
        <f>"140608601010"</f>
        <v>140608601010</v>
      </c>
      <c r="D88" t="s">
        <v>639</v>
      </c>
      <c r="E88" t="s">
        <v>640</v>
      </c>
      <c r="G88" s="1">
        <v>41798</v>
      </c>
      <c r="I88" t="s">
        <v>286</v>
      </c>
      <c r="J88" t="s">
        <v>287</v>
      </c>
      <c r="K88" t="s">
        <v>288</v>
      </c>
      <c r="Q88" t="s">
        <v>289</v>
      </c>
      <c r="R88" t="str">
        <f>"КАЗАХСТАН, АКМОЛИНСКАЯ, ЗЕРЕНДИНСКИЙ РАЙОН, Зерендинский, Зеренда, 34"</f>
        <v>КАЗАХСТАН, АКМОЛИНСКАЯ, ЗЕРЕНДИНСКИЙ РАЙОН, Зерендинский, Зеренда, 34</v>
      </c>
      <c r="S88" t="str">
        <f>"ҚАЗАҚСТАН, АҚМОЛА, ЗЕРЕНДІ АУДАНЫ, Зерендинский, Зеренда, 34"</f>
        <v>ҚАЗАҚСТАН, АҚМОЛА, ЗЕРЕНДІ АУДАНЫ, Зерендинский, Зеренда, 34</v>
      </c>
      <c r="T88" t="str">
        <f>"Зерендинский, Зеренда, 34"</f>
        <v>Зерендинский, Зеренда, 34</v>
      </c>
      <c r="U88" t="str">
        <f>"Зерендинский, Зеренда, 34"</f>
        <v>Зерендинский, Зеренда, 34</v>
      </c>
      <c r="AC88" t="str">
        <f>"2020-07-16T00:00:00"</f>
        <v>2020-07-16T00:00:00</v>
      </c>
      <c r="AD88" t="str">
        <f>"33"</f>
        <v>33</v>
      </c>
      <c r="AE88" t="str">
        <f>"2024-09-01T15:17:48"</f>
        <v>2024-09-01T15:17:48</v>
      </c>
      <c r="AF88" t="str">
        <f>"2025-05-25T15:17:48"</f>
        <v>2025-05-25T15:17:48</v>
      </c>
      <c r="AG88" t="s">
        <v>290</v>
      </c>
      <c r="AI88" t="s">
        <v>373</v>
      </c>
      <c r="AK88" t="s">
        <v>634</v>
      </c>
      <c r="AP88" t="s">
        <v>342</v>
      </c>
      <c r="AQ88" t="s">
        <v>289</v>
      </c>
      <c r="AT88" t="s">
        <v>294</v>
      </c>
      <c r="AU88" t="s">
        <v>295</v>
      </c>
      <c r="AW88" t="s">
        <v>296</v>
      </c>
      <c r="AX88">
        <v>2</v>
      </c>
      <c r="AY88" t="s">
        <v>297</v>
      </c>
      <c r="AZ88" t="s">
        <v>298</v>
      </c>
      <c r="BA88" t="s">
        <v>349</v>
      </c>
      <c r="BF88" t="s">
        <v>294</v>
      </c>
      <c r="BG88" t="s">
        <v>300</v>
      </c>
      <c r="BI88" t="s">
        <v>298</v>
      </c>
      <c r="BR88" t="s">
        <v>289</v>
      </c>
      <c r="BS88" t="s">
        <v>301</v>
      </c>
      <c r="BT88" t="s">
        <v>302</v>
      </c>
      <c r="BU88" t="s">
        <v>303</v>
      </c>
      <c r="BV88" t="s">
        <v>304</v>
      </c>
      <c r="BX88" t="s">
        <v>324</v>
      </c>
      <c r="BY88" t="s">
        <v>298</v>
      </c>
      <c r="BZ88" t="s">
        <v>306</v>
      </c>
      <c r="CA88" t="s">
        <v>325</v>
      </c>
      <c r="CC88" t="s">
        <v>308</v>
      </c>
      <c r="CD88" t="s">
        <v>309</v>
      </c>
      <c r="CE88" t="s">
        <v>294</v>
      </c>
      <c r="CH88" t="s">
        <v>304</v>
      </c>
      <c r="CI88" t="s">
        <v>304</v>
      </c>
      <c r="CK88" t="s">
        <v>641</v>
      </c>
      <c r="CL88" t="s">
        <v>311</v>
      </c>
      <c r="CM88" t="s">
        <v>642</v>
      </c>
      <c r="CN88" t="s">
        <v>367</v>
      </c>
      <c r="CO88" t="s">
        <v>312</v>
      </c>
      <c r="CT88" t="s">
        <v>294</v>
      </c>
      <c r="CU88" t="s">
        <v>313</v>
      </c>
      <c r="CV88" t="s">
        <v>314</v>
      </c>
      <c r="CW88" t="s">
        <v>315</v>
      </c>
      <c r="CX88" t="s">
        <v>316</v>
      </c>
      <c r="CZ88" t="s">
        <v>289</v>
      </c>
      <c r="DA88" t="s">
        <v>289</v>
      </c>
      <c r="DB88" t="s">
        <v>289</v>
      </c>
      <c r="DC88" t="s">
        <v>289</v>
      </c>
      <c r="DI88" t="s">
        <v>289</v>
      </c>
      <c r="DL88" t="s">
        <v>289</v>
      </c>
      <c r="DM88" t="s">
        <v>317</v>
      </c>
      <c r="DS88" t="s">
        <v>289</v>
      </c>
      <c r="DT88" t="s">
        <v>289</v>
      </c>
      <c r="DU88" t="s">
        <v>318</v>
      </c>
      <c r="DV88" t="s">
        <v>289</v>
      </c>
      <c r="DX88" t="s">
        <v>368</v>
      </c>
      <c r="DY88" t="s">
        <v>472</v>
      </c>
      <c r="DZ88" t="s">
        <v>473</v>
      </c>
      <c r="EA88" t="s">
        <v>294</v>
      </c>
    </row>
    <row r="89" spans="1:131" x14ac:dyDescent="0.25">
      <c r="A89">
        <v>12876610</v>
      </c>
      <c r="B89">
        <v>546822</v>
      </c>
      <c r="C89" t="str">
        <f>"130925505198"</f>
        <v>130925505198</v>
      </c>
      <c r="D89" t="s">
        <v>643</v>
      </c>
      <c r="E89" t="s">
        <v>644</v>
      </c>
      <c r="G89" s="1">
        <v>41542</v>
      </c>
      <c r="I89" t="s">
        <v>353</v>
      </c>
      <c r="J89" t="s">
        <v>287</v>
      </c>
      <c r="K89" t="s">
        <v>288</v>
      </c>
      <c r="Q89" t="s">
        <v>289</v>
      </c>
      <c r="R89" t="str">
        <f>"КАЗАХСТАН, АКМОЛИНСКАЯ, ЗЕРЕНДИНСКИЙ РАЙОН, Зерендинский, Зеренда, 85"</f>
        <v>КАЗАХСТАН, АКМОЛИНСКАЯ, ЗЕРЕНДИНСКИЙ РАЙОН, Зерендинский, Зеренда, 85</v>
      </c>
      <c r="S89" t="str">
        <f>"ҚАЗАҚСТАН, АҚМОЛА, ЗЕРЕНДІ АУДАНЫ, Зерендинский, Зеренда, 85"</f>
        <v>ҚАЗАҚСТАН, АҚМОЛА, ЗЕРЕНДІ АУДАНЫ, Зерендинский, Зеренда, 85</v>
      </c>
      <c r="T89" t="str">
        <f>"Зерендинский, Зеренда, 85"</f>
        <v>Зерендинский, Зеренда, 85</v>
      </c>
      <c r="U89" t="str">
        <f>"Зерендинский, Зеренда, 85"</f>
        <v>Зерендинский, Зеренда, 85</v>
      </c>
      <c r="AC89" t="str">
        <f>"2020-07-20T00:00:00"</f>
        <v>2020-07-20T00:00:00</v>
      </c>
      <c r="AD89" t="str">
        <f>"35"</f>
        <v>35</v>
      </c>
      <c r="AE89" t="str">
        <f>"2024-09-01T21:10:51"</f>
        <v>2024-09-01T21:10:51</v>
      </c>
      <c r="AF89" t="str">
        <f>"2025-05-25T21:10:51"</f>
        <v>2025-05-25T21:10:51</v>
      </c>
      <c r="AG89" t="s">
        <v>290</v>
      </c>
      <c r="AI89" t="s">
        <v>373</v>
      </c>
      <c r="AK89" t="s">
        <v>634</v>
      </c>
      <c r="AP89" t="s">
        <v>293</v>
      </c>
      <c r="AT89" t="s">
        <v>294</v>
      </c>
      <c r="AU89" t="s">
        <v>295</v>
      </c>
      <c r="AW89" t="s">
        <v>296</v>
      </c>
      <c r="AX89">
        <v>2</v>
      </c>
      <c r="AY89" t="s">
        <v>297</v>
      </c>
      <c r="AZ89" t="s">
        <v>298</v>
      </c>
      <c r="BA89" t="s">
        <v>323</v>
      </c>
      <c r="BF89" t="s">
        <v>294</v>
      </c>
      <c r="BG89" t="s">
        <v>300</v>
      </c>
      <c r="BI89" t="s">
        <v>298</v>
      </c>
      <c r="BR89" t="s">
        <v>289</v>
      </c>
      <c r="BS89" t="s">
        <v>301</v>
      </c>
      <c r="BT89" t="s">
        <v>302</v>
      </c>
      <c r="BU89" t="s">
        <v>303</v>
      </c>
      <c r="BV89" t="s">
        <v>304</v>
      </c>
      <c r="BX89" t="s">
        <v>305</v>
      </c>
      <c r="BY89" t="s">
        <v>298</v>
      </c>
      <c r="BZ89" t="s">
        <v>306</v>
      </c>
      <c r="CA89" t="s">
        <v>325</v>
      </c>
      <c r="CC89" t="s">
        <v>308</v>
      </c>
      <c r="CD89" t="s">
        <v>309</v>
      </c>
      <c r="CE89" t="s">
        <v>294</v>
      </c>
      <c r="CH89" t="s">
        <v>304</v>
      </c>
      <c r="CI89" t="s">
        <v>304</v>
      </c>
      <c r="CK89" t="s">
        <v>497</v>
      </c>
      <c r="CL89" t="s">
        <v>328</v>
      </c>
      <c r="CM89" t="s">
        <v>645</v>
      </c>
      <c r="CN89" t="s">
        <v>311</v>
      </c>
      <c r="CO89" t="s">
        <v>312</v>
      </c>
      <c r="CT89" t="s">
        <v>294</v>
      </c>
      <c r="CU89" t="s">
        <v>313</v>
      </c>
      <c r="CV89" t="s">
        <v>314</v>
      </c>
      <c r="CW89" t="s">
        <v>315</v>
      </c>
      <c r="CX89" t="s">
        <v>316</v>
      </c>
      <c r="CZ89" t="s">
        <v>289</v>
      </c>
      <c r="DA89" t="s">
        <v>289</v>
      </c>
      <c r="DB89" t="s">
        <v>289</v>
      </c>
      <c r="DC89" t="s">
        <v>289</v>
      </c>
      <c r="DI89" t="s">
        <v>289</v>
      </c>
      <c r="DL89" t="s">
        <v>289</v>
      </c>
      <c r="DM89" t="s">
        <v>317</v>
      </c>
      <c r="DS89" t="s">
        <v>289</v>
      </c>
      <c r="DT89" t="s">
        <v>289</v>
      </c>
      <c r="DU89" t="s">
        <v>318</v>
      </c>
      <c r="DV89" t="s">
        <v>289</v>
      </c>
      <c r="DX89" t="s">
        <v>319</v>
      </c>
      <c r="EA89" t="s">
        <v>289</v>
      </c>
    </row>
    <row r="90" spans="1:131" x14ac:dyDescent="0.25">
      <c r="A90">
        <v>12876868</v>
      </c>
      <c r="B90">
        <v>956278</v>
      </c>
      <c r="C90" t="str">
        <f>"140328501607"</f>
        <v>140328501607</v>
      </c>
      <c r="D90" t="s">
        <v>646</v>
      </c>
      <c r="E90" t="s">
        <v>647</v>
      </c>
      <c r="F90" t="s">
        <v>648</v>
      </c>
      <c r="G90" s="1">
        <v>41726</v>
      </c>
      <c r="I90" t="s">
        <v>353</v>
      </c>
      <c r="J90" t="s">
        <v>287</v>
      </c>
      <c r="K90" t="s">
        <v>288</v>
      </c>
      <c r="Q90" t="s">
        <v>289</v>
      </c>
      <c r="R90" t="str">
        <f>"КАЗАХСТАН, АКМОЛИНСКАЯ, ЗЕРЕНДИНСКИЙ РАЙОН, ЗЕРЕНДІ, 52"</f>
        <v>КАЗАХСТАН, АКМОЛИНСКАЯ, ЗЕРЕНДИНСКИЙ РАЙОН, ЗЕРЕНДІ, 52</v>
      </c>
      <c r="S90" t="str">
        <f>"ҚАЗАҚСТАН, АҚМОЛА, ЗЕРЕНДІ АУДАНЫ, ЗЕРЕНДІ, 52"</f>
        <v>ҚАЗАҚСТАН, АҚМОЛА, ЗЕРЕНДІ АУДАНЫ, ЗЕРЕНДІ, 52</v>
      </c>
      <c r="T90" t="str">
        <f>"ЗЕРЕНДІ, 52"</f>
        <v>ЗЕРЕНДІ, 52</v>
      </c>
      <c r="U90" t="str">
        <f>"ЗЕРЕНДІ, 52"</f>
        <v>ЗЕРЕНДІ, 52</v>
      </c>
      <c r="AC90" t="str">
        <f>"2020-07-14T00:00:00"</f>
        <v>2020-07-14T00:00:00</v>
      </c>
      <c r="AD90" t="str">
        <f>"31"</f>
        <v>31</v>
      </c>
      <c r="AE90" t="str">
        <f>"2024-09-01T21:16:57"</f>
        <v>2024-09-01T21:16:57</v>
      </c>
      <c r="AF90" t="str">
        <f>"2025-05-25T21:16:57"</f>
        <v>2025-05-25T21:16:57</v>
      </c>
      <c r="AG90" t="s">
        <v>290</v>
      </c>
      <c r="AI90" t="s">
        <v>291</v>
      </c>
      <c r="AK90" t="s">
        <v>634</v>
      </c>
      <c r="AP90" t="s">
        <v>342</v>
      </c>
      <c r="AT90" t="s">
        <v>294</v>
      </c>
      <c r="AU90" t="s">
        <v>295</v>
      </c>
      <c r="AW90" t="s">
        <v>296</v>
      </c>
      <c r="AX90">
        <v>2</v>
      </c>
      <c r="AY90" t="s">
        <v>297</v>
      </c>
      <c r="AZ90" t="s">
        <v>298</v>
      </c>
      <c r="BA90" t="s">
        <v>349</v>
      </c>
      <c r="BF90" t="s">
        <v>294</v>
      </c>
      <c r="BG90" t="s">
        <v>300</v>
      </c>
      <c r="BI90" t="s">
        <v>298</v>
      </c>
      <c r="BR90" t="s">
        <v>289</v>
      </c>
      <c r="BS90" t="s">
        <v>301</v>
      </c>
      <c r="BT90" t="s">
        <v>302</v>
      </c>
      <c r="BU90" t="s">
        <v>303</v>
      </c>
      <c r="BV90" t="s">
        <v>304</v>
      </c>
      <c r="BX90" t="s">
        <v>324</v>
      </c>
      <c r="BY90" t="s">
        <v>298</v>
      </c>
      <c r="BZ90" t="s">
        <v>306</v>
      </c>
      <c r="CA90" t="s">
        <v>649</v>
      </c>
      <c r="CC90" t="s">
        <v>308</v>
      </c>
      <c r="CD90" t="s">
        <v>309</v>
      </c>
      <c r="CE90" t="s">
        <v>294</v>
      </c>
      <c r="CH90" t="s">
        <v>304</v>
      </c>
      <c r="CI90" t="s">
        <v>304</v>
      </c>
      <c r="CK90" t="s">
        <v>335</v>
      </c>
      <c r="CM90" t="s">
        <v>650</v>
      </c>
      <c r="CN90" t="s">
        <v>651</v>
      </c>
      <c r="CO90" t="s">
        <v>312</v>
      </c>
      <c r="CT90" t="s">
        <v>294</v>
      </c>
      <c r="CU90" t="s">
        <v>313</v>
      </c>
      <c r="CV90" t="s">
        <v>314</v>
      </c>
      <c r="CW90" t="s">
        <v>315</v>
      </c>
      <c r="CX90" t="s">
        <v>316</v>
      </c>
      <c r="CZ90" t="s">
        <v>289</v>
      </c>
      <c r="DA90" t="s">
        <v>289</v>
      </c>
      <c r="DB90" t="s">
        <v>289</v>
      </c>
      <c r="DC90" t="s">
        <v>289</v>
      </c>
      <c r="DI90" t="s">
        <v>289</v>
      </c>
      <c r="DL90" t="s">
        <v>289</v>
      </c>
      <c r="DM90" t="s">
        <v>317</v>
      </c>
      <c r="DS90" t="s">
        <v>289</v>
      </c>
      <c r="DT90" t="s">
        <v>289</v>
      </c>
      <c r="DU90" t="s">
        <v>318</v>
      </c>
      <c r="DV90" t="s">
        <v>289</v>
      </c>
      <c r="DX90" t="s">
        <v>319</v>
      </c>
      <c r="EA90" t="s">
        <v>289</v>
      </c>
    </row>
    <row r="91" spans="1:131" x14ac:dyDescent="0.25">
      <c r="A91">
        <v>12877266</v>
      </c>
      <c r="B91">
        <v>547384</v>
      </c>
      <c r="C91" t="str">
        <f>"140318500713"</f>
        <v>140318500713</v>
      </c>
      <c r="D91" t="s">
        <v>652</v>
      </c>
      <c r="E91" t="s">
        <v>653</v>
      </c>
      <c r="F91" t="s">
        <v>654</v>
      </c>
      <c r="G91" s="1">
        <v>41716</v>
      </c>
      <c r="I91" t="s">
        <v>353</v>
      </c>
      <c r="J91" t="s">
        <v>287</v>
      </c>
      <c r="K91" t="s">
        <v>288</v>
      </c>
      <c r="Q91" t="s">
        <v>289</v>
      </c>
      <c r="R91" t="str">
        <f>"КАЗАХСТАН, АКМОЛИНСКАЯ, ЗЕРЕНДИНСКИЙ РАЙОН, Зерендинский, Зеренда, 59"</f>
        <v>КАЗАХСТАН, АКМОЛИНСКАЯ, ЗЕРЕНДИНСКИЙ РАЙОН, Зерендинский, Зеренда, 59</v>
      </c>
      <c r="S91" t="str">
        <f>"ҚАЗАҚСТАН, АҚМОЛА, ЗЕРЕНДІ АУДАНЫ, Зерендинский, Зеренда, 59"</f>
        <v>ҚАЗАҚСТАН, АҚМОЛА, ЗЕРЕНДІ АУДАНЫ, Зерендинский, Зеренда, 59</v>
      </c>
      <c r="T91" t="str">
        <f>"Зерендинский, Зеренда, 59"</f>
        <v>Зерендинский, Зеренда, 59</v>
      </c>
      <c r="U91" t="str">
        <f>"Зерендинский, Зеренда, 59"</f>
        <v>Зерендинский, Зеренда, 59</v>
      </c>
      <c r="AC91" t="str">
        <f>"2020-07-21T00:00:00"</f>
        <v>2020-07-21T00:00:00</v>
      </c>
      <c r="AD91" t="str">
        <f>"36"</f>
        <v>36</v>
      </c>
      <c r="AE91" t="str">
        <f>"2024-09-01T21:11:40"</f>
        <v>2024-09-01T21:11:40</v>
      </c>
      <c r="AF91" t="str">
        <f>"2025-05-25T21:11:40"</f>
        <v>2025-05-25T21:11:40</v>
      </c>
      <c r="AG91" t="s">
        <v>290</v>
      </c>
      <c r="AI91" t="s">
        <v>373</v>
      </c>
      <c r="AK91" t="s">
        <v>634</v>
      </c>
      <c r="AP91" t="s">
        <v>293</v>
      </c>
      <c r="AT91" t="s">
        <v>294</v>
      </c>
      <c r="AU91" t="s">
        <v>295</v>
      </c>
      <c r="AW91" t="s">
        <v>296</v>
      </c>
      <c r="AX91">
        <v>2</v>
      </c>
      <c r="AY91" t="s">
        <v>297</v>
      </c>
      <c r="AZ91" t="s">
        <v>298</v>
      </c>
      <c r="BA91" t="s">
        <v>349</v>
      </c>
      <c r="BF91" t="s">
        <v>294</v>
      </c>
      <c r="BG91" t="s">
        <v>300</v>
      </c>
      <c r="BI91" t="s">
        <v>298</v>
      </c>
      <c r="BR91" t="s">
        <v>289</v>
      </c>
      <c r="BS91" t="s">
        <v>301</v>
      </c>
      <c r="BT91" t="s">
        <v>302</v>
      </c>
      <c r="BU91" t="s">
        <v>303</v>
      </c>
      <c r="BV91" t="s">
        <v>304</v>
      </c>
      <c r="BX91" t="s">
        <v>305</v>
      </c>
      <c r="BY91" t="s">
        <v>298</v>
      </c>
      <c r="BZ91" t="s">
        <v>306</v>
      </c>
      <c r="CA91" t="s">
        <v>307</v>
      </c>
      <c r="CC91" t="s">
        <v>308</v>
      </c>
      <c r="CD91" t="s">
        <v>309</v>
      </c>
      <c r="CE91" t="s">
        <v>294</v>
      </c>
      <c r="CH91" t="s">
        <v>304</v>
      </c>
      <c r="CI91" t="s">
        <v>304</v>
      </c>
      <c r="CK91" t="s">
        <v>382</v>
      </c>
      <c r="CL91" t="s">
        <v>328</v>
      </c>
      <c r="CM91" t="s">
        <v>493</v>
      </c>
      <c r="CN91" t="s">
        <v>328</v>
      </c>
      <c r="CO91" t="s">
        <v>312</v>
      </c>
      <c r="CT91" t="s">
        <v>294</v>
      </c>
      <c r="CU91" t="s">
        <v>313</v>
      </c>
      <c r="CV91" t="s">
        <v>314</v>
      </c>
      <c r="CW91" t="s">
        <v>315</v>
      </c>
      <c r="CX91" t="s">
        <v>316</v>
      </c>
      <c r="CZ91" t="s">
        <v>289</v>
      </c>
      <c r="DA91" t="s">
        <v>289</v>
      </c>
      <c r="DB91" t="s">
        <v>289</v>
      </c>
      <c r="DC91" t="s">
        <v>289</v>
      </c>
      <c r="DI91" t="s">
        <v>289</v>
      </c>
      <c r="DL91" t="s">
        <v>289</v>
      </c>
      <c r="DM91" t="s">
        <v>655</v>
      </c>
      <c r="DS91" t="s">
        <v>289</v>
      </c>
      <c r="DT91" t="s">
        <v>289</v>
      </c>
      <c r="DU91" t="s">
        <v>318</v>
      </c>
      <c r="DV91" t="s">
        <v>289</v>
      </c>
      <c r="DX91" t="s">
        <v>319</v>
      </c>
      <c r="EA91" t="s">
        <v>289</v>
      </c>
    </row>
    <row r="92" spans="1:131" x14ac:dyDescent="0.25">
      <c r="A92">
        <v>13066257</v>
      </c>
      <c r="B92">
        <v>545724</v>
      </c>
      <c r="C92" t="str">
        <f>"140124504583"</f>
        <v>140124504583</v>
      </c>
      <c r="D92" t="s">
        <v>656</v>
      </c>
      <c r="E92" t="s">
        <v>657</v>
      </c>
      <c r="F92" t="s">
        <v>658</v>
      </c>
      <c r="G92" s="1">
        <v>41663</v>
      </c>
      <c r="I92" t="s">
        <v>353</v>
      </c>
      <c r="J92" t="s">
        <v>287</v>
      </c>
      <c r="K92" t="s">
        <v>288</v>
      </c>
      <c r="Q92" t="s">
        <v>289</v>
      </c>
      <c r="R92" t="str">
        <f>"КАЗАХСТАН, АКМОЛИНСКАЯ, ЗЕРЕНДИНСКИЙ РАЙОН, Зерендинский, Зеренда, 17, 3"</f>
        <v>КАЗАХСТАН, АКМОЛИНСКАЯ, ЗЕРЕНДИНСКИЙ РАЙОН, Зерендинский, Зеренда, 17, 3</v>
      </c>
      <c r="S92" t="str">
        <f>"ҚАЗАҚСТАН, АҚМОЛА, ЗЕРЕНДІ АУДАНЫ, Зерендинский, Зеренда, 17, 3"</f>
        <v>ҚАЗАҚСТАН, АҚМОЛА, ЗЕРЕНДІ АУДАНЫ, Зерендинский, Зеренда, 17, 3</v>
      </c>
      <c r="T92" t="str">
        <f>"Зерендинский, Зеренда, 17, 3"</f>
        <v>Зерендинский, Зеренда, 17, 3</v>
      </c>
      <c r="U92" t="str">
        <f>"Зерендинский, Зеренда, 17, 3"</f>
        <v>Зерендинский, Зеренда, 17, 3</v>
      </c>
      <c r="AC92" t="str">
        <f>"2020-07-22T00:00:00"</f>
        <v>2020-07-22T00:00:00</v>
      </c>
      <c r="AD92" t="str">
        <f>"38"</f>
        <v>38</v>
      </c>
      <c r="AE92" t="str">
        <f>"2024-09-01T15:17:25"</f>
        <v>2024-09-01T15:17:25</v>
      </c>
      <c r="AF92" t="str">
        <f>"2025-05-25T15:17:25"</f>
        <v>2025-05-25T15:17:25</v>
      </c>
      <c r="AG92" t="s">
        <v>290</v>
      </c>
      <c r="AI92" t="s">
        <v>373</v>
      </c>
      <c r="AK92" t="s">
        <v>634</v>
      </c>
      <c r="AP92" t="s">
        <v>293</v>
      </c>
      <c r="AQ92" t="s">
        <v>289</v>
      </c>
      <c r="AT92" t="s">
        <v>294</v>
      </c>
      <c r="AU92" t="s">
        <v>295</v>
      </c>
      <c r="AW92" t="s">
        <v>296</v>
      </c>
      <c r="AX92">
        <v>2</v>
      </c>
      <c r="AY92" t="s">
        <v>297</v>
      </c>
      <c r="AZ92" t="s">
        <v>298</v>
      </c>
      <c r="BA92" t="s">
        <v>349</v>
      </c>
      <c r="BE92" t="str">
        <f>"2020-08-27T09:46:53"</f>
        <v>2020-08-27T09:46:53</v>
      </c>
      <c r="BF92" t="s">
        <v>294</v>
      </c>
      <c r="BG92" t="s">
        <v>300</v>
      </c>
      <c r="BI92" t="s">
        <v>298</v>
      </c>
      <c r="BR92" t="s">
        <v>289</v>
      </c>
      <c r="BS92" t="s">
        <v>301</v>
      </c>
      <c r="BT92" t="s">
        <v>302</v>
      </c>
      <c r="BU92" t="s">
        <v>303</v>
      </c>
      <c r="BV92" t="s">
        <v>304</v>
      </c>
      <c r="BX92" t="s">
        <v>305</v>
      </c>
      <c r="BY92" t="s">
        <v>298</v>
      </c>
      <c r="BZ92" t="s">
        <v>306</v>
      </c>
      <c r="CA92" t="s">
        <v>466</v>
      </c>
      <c r="CC92" t="s">
        <v>308</v>
      </c>
      <c r="CD92" t="s">
        <v>309</v>
      </c>
      <c r="CE92" t="s">
        <v>294</v>
      </c>
      <c r="CH92" t="s">
        <v>304</v>
      </c>
      <c r="CI92" t="s">
        <v>304</v>
      </c>
      <c r="CK92" t="s">
        <v>335</v>
      </c>
      <c r="CM92" t="s">
        <v>507</v>
      </c>
      <c r="CN92" t="s">
        <v>328</v>
      </c>
      <c r="CO92" t="s">
        <v>312</v>
      </c>
      <c r="CT92" t="s">
        <v>294</v>
      </c>
      <c r="CU92" t="s">
        <v>313</v>
      </c>
      <c r="CV92" t="s">
        <v>314</v>
      </c>
      <c r="CW92" t="s">
        <v>315</v>
      </c>
      <c r="CX92" t="s">
        <v>316</v>
      </c>
      <c r="CZ92" t="s">
        <v>289</v>
      </c>
      <c r="DA92" t="s">
        <v>289</v>
      </c>
      <c r="DB92" t="s">
        <v>289</v>
      </c>
      <c r="DC92" t="s">
        <v>289</v>
      </c>
      <c r="DI92" t="s">
        <v>289</v>
      </c>
      <c r="DL92" t="s">
        <v>289</v>
      </c>
      <c r="DM92" t="s">
        <v>317</v>
      </c>
      <c r="DS92" t="s">
        <v>289</v>
      </c>
      <c r="DT92" t="s">
        <v>289</v>
      </c>
      <c r="DU92" t="s">
        <v>318</v>
      </c>
      <c r="DV92" t="s">
        <v>289</v>
      </c>
      <c r="DX92" t="s">
        <v>368</v>
      </c>
      <c r="DY92" t="s">
        <v>472</v>
      </c>
      <c r="DZ92" t="s">
        <v>473</v>
      </c>
      <c r="EA92" t="s">
        <v>294</v>
      </c>
    </row>
    <row r="93" spans="1:131" x14ac:dyDescent="0.25">
      <c r="A93">
        <v>13066683</v>
      </c>
      <c r="B93">
        <v>549449</v>
      </c>
      <c r="C93" t="str">
        <f>"141022600535"</f>
        <v>141022600535</v>
      </c>
      <c r="D93" t="s">
        <v>415</v>
      </c>
      <c r="E93" t="s">
        <v>659</v>
      </c>
      <c r="F93" t="s">
        <v>444</v>
      </c>
      <c r="G93" s="1">
        <v>41934</v>
      </c>
      <c r="I93" t="s">
        <v>286</v>
      </c>
      <c r="J93" t="s">
        <v>287</v>
      </c>
      <c r="K93" t="s">
        <v>288</v>
      </c>
      <c r="Q93" t="s">
        <v>289</v>
      </c>
      <c r="R93" t="str">
        <f>"КАЗАХСТАН, АКМОЛИНСКАЯ, ЗЕРЕНДИНСКИЙ РАЙОН, Зерендинский, Зеренда, 54, 1"</f>
        <v>КАЗАХСТАН, АКМОЛИНСКАЯ, ЗЕРЕНДИНСКИЙ РАЙОН, Зерендинский, Зеренда, 54, 1</v>
      </c>
      <c r="S93" t="str">
        <f>"ҚАЗАҚСТАН, АҚМОЛА, ЗЕРЕНДІ АУДАНЫ, Зерендинский, Зеренда, 54, 1"</f>
        <v>ҚАЗАҚСТАН, АҚМОЛА, ЗЕРЕНДІ АУДАНЫ, Зерендинский, Зеренда, 54, 1</v>
      </c>
      <c r="T93" t="str">
        <f>"Зерендинский, Зеренда, 54, 1"</f>
        <v>Зерендинский, Зеренда, 54, 1</v>
      </c>
      <c r="U93" t="str">
        <f>"Зерендинский, Зеренда, 54, 1"</f>
        <v>Зерендинский, Зеренда, 54, 1</v>
      </c>
      <c r="AC93" t="str">
        <f>"2020-07-14T00:00:00"</f>
        <v>2020-07-14T00:00:00</v>
      </c>
      <c r="AD93" t="str">
        <f>"32"</f>
        <v>32</v>
      </c>
      <c r="AE93" t="str">
        <f>"2024-09-01T21:18:34"</f>
        <v>2024-09-01T21:18:34</v>
      </c>
      <c r="AF93" t="str">
        <f>"2025-05-25T21:18:34"</f>
        <v>2025-05-25T21:18:34</v>
      </c>
      <c r="AG93" t="s">
        <v>290</v>
      </c>
      <c r="AI93" t="s">
        <v>373</v>
      </c>
      <c r="AK93" t="s">
        <v>634</v>
      </c>
      <c r="AP93" t="s">
        <v>342</v>
      </c>
      <c r="AT93" t="s">
        <v>294</v>
      </c>
      <c r="AU93" t="s">
        <v>295</v>
      </c>
      <c r="AW93" t="s">
        <v>296</v>
      </c>
      <c r="AX93">
        <v>2</v>
      </c>
      <c r="AY93" t="s">
        <v>297</v>
      </c>
      <c r="AZ93" t="s">
        <v>298</v>
      </c>
      <c r="BA93" t="s">
        <v>323</v>
      </c>
      <c r="BF93" t="s">
        <v>294</v>
      </c>
      <c r="BG93" t="s">
        <v>300</v>
      </c>
      <c r="BI93" t="s">
        <v>298</v>
      </c>
      <c r="BR93" t="s">
        <v>289</v>
      </c>
      <c r="BS93" t="s">
        <v>301</v>
      </c>
      <c r="BT93" t="s">
        <v>302</v>
      </c>
      <c r="BU93" t="s">
        <v>303</v>
      </c>
      <c r="BV93" t="s">
        <v>304</v>
      </c>
      <c r="BX93" t="s">
        <v>392</v>
      </c>
      <c r="BY93" t="s">
        <v>298</v>
      </c>
      <c r="BZ93" t="s">
        <v>306</v>
      </c>
      <c r="CA93" t="s">
        <v>393</v>
      </c>
      <c r="CC93" t="s">
        <v>308</v>
      </c>
      <c r="CD93" t="s">
        <v>309</v>
      </c>
      <c r="CE93" t="s">
        <v>294</v>
      </c>
      <c r="CH93" t="s">
        <v>304</v>
      </c>
      <c r="CI93" t="s">
        <v>304</v>
      </c>
      <c r="CK93" t="s">
        <v>641</v>
      </c>
      <c r="CL93" t="s">
        <v>311</v>
      </c>
      <c r="CM93" t="s">
        <v>660</v>
      </c>
      <c r="CN93" t="s">
        <v>311</v>
      </c>
      <c r="CO93" t="s">
        <v>312</v>
      </c>
      <c r="CT93" t="s">
        <v>294</v>
      </c>
      <c r="CU93" t="s">
        <v>313</v>
      </c>
      <c r="CV93" t="s">
        <v>314</v>
      </c>
      <c r="CW93" t="s">
        <v>315</v>
      </c>
      <c r="CX93" t="s">
        <v>316</v>
      </c>
      <c r="CZ93" t="s">
        <v>289</v>
      </c>
      <c r="DA93" t="s">
        <v>289</v>
      </c>
      <c r="DB93" t="s">
        <v>289</v>
      </c>
      <c r="DC93" t="s">
        <v>289</v>
      </c>
      <c r="DI93" t="s">
        <v>289</v>
      </c>
      <c r="DL93" t="s">
        <v>289</v>
      </c>
      <c r="DM93" t="s">
        <v>317</v>
      </c>
      <c r="DS93" t="s">
        <v>289</v>
      </c>
      <c r="DT93" t="s">
        <v>289</v>
      </c>
      <c r="DU93" t="s">
        <v>318</v>
      </c>
      <c r="DV93" t="s">
        <v>289</v>
      </c>
      <c r="DX93" t="s">
        <v>319</v>
      </c>
      <c r="EA93" t="s">
        <v>289</v>
      </c>
    </row>
    <row r="94" spans="1:131" x14ac:dyDescent="0.25">
      <c r="A94">
        <v>13085615</v>
      </c>
      <c r="B94">
        <v>864318</v>
      </c>
      <c r="C94" t="str">
        <f>"140119603277"</f>
        <v>140119603277</v>
      </c>
      <c r="D94" t="s">
        <v>661</v>
      </c>
      <c r="E94" t="s">
        <v>662</v>
      </c>
      <c r="F94" t="s">
        <v>663</v>
      </c>
      <c r="G94" s="1">
        <v>41658</v>
      </c>
      <c r="I94" t="s">
        <v>286</v>
      </c>
      <c r="J94" t="s">
        <v>287</v>
      </c>
      <c r="K94" t="s">
        <v>288</v>
      </c>
      <c r="Q94" t="s">
        <v>289</v>
      </c>
      <c r="R94" t="str">
        <f>"КАЗАХСТАН, АКМОЛИНСКАЯ, ЗЕРЕНДИНСКИЙ РАЙОН, Зерендинский, Зеренда, 18"</f>
        <v>КАЗАХСТАН, АКМОЛИНСКАЯ, ЗЕРЕНДИНСКИЙ РАЙОН, Зерендинский, Зеренда, 18</v>
      </c>
      <c r="S94" t="str">
        <f>"ҚАЗАҚСТАН, АҚМОЛА, ЗЕРЕНДІ АУДАНЫ, Зерендинский, Зеренда, 18"</f>
        <v>ҚАЗАҚСТАН, АҚМОЛА, ЗЕРЕНДІ АУДАНЫ, Зерендинский, Зеренда, 18</v>
      </c>
      <c r="T94" t="str">
        <f>"Зерендинский, Зеренда, 18"</f>
        <v>Зерендинский, Зеренда, 18</v>
      </c>
      <c r="U94" t="str">
        <f>"Зерендинский, Зеренда, 18"</f>
        <v>Зерендинский, Зеренда, 18</v>
      </c>
      <c r="AC94" t="str">
        <f>"2020-07-23T00:00:00"</f>
        <v>2020-07-23T00:00:00</v>
      </c>
      <c r="AD94" t="str">
        <f>"39"</f>
        <v>39</v>
      </c>
      <c r="AE94" t="str">
        <f>"2024-09-01T21:12:48"</f>
        <v>2024-09-01T21:12:48</v>
      </c>
      <c r="AF94" t="str">
        <f>"2025-05-25T21:12:48"</f>
        <v>2025-05-25T21:12:48</v>
      </c>
      <c r="AG94" t="s">
        <v>290</v>
      </c>
      <c r="AI94" t="s">
        <v>291</v>
      </c>
      <c r="AK94" t="s">
        <v>634</v>
      </c>
      <c r="AP94" t="s">
        <v>293</v>
      </c>
      <c r="AT94" t="s">
        <v>294</v>
      </c>
      <c r="AU94" t="s">
        <v>295</v>
      </c>
      <c r="AW94" t="s">
        <v>296</v>
      </c>
      <c r="AX94">
        <v>2</v>
      </c>
      <c r="AY94" t="s">
        <v>297</v>
      </c>
      <c r="AZ94" t="s">
        <v>298</v>
      </c>
      <c r="BA94" t="s">
        <v>349</v>
      </c>
      <c r="BF94" t="s">
        <v>294</v>
      </c>
      <c r="BG94" t="s">
        <v>300</v>
      </c>
      <c r="BI94" t="s">
        <v>298</v>
      </c>
      <c r="BR94" t="s">
        <v>289</v>
      </c>
      <c r="BS94" t="s">
        <v>301</v>
      </c>
      <c r="BT94" t="s">
        <v>302</v>
      </c>
      <c r="BU94" t="s">
        <v>303</v>
      </c>
      <c r="BV94" t="s">
        <v>304</v>
      </c>
      <c r="BX94" t="s">
        <v>324</v>
      </c>
      <c r="BY94" t="s">
        <v>298</v>
      </c>
      <c r="BZ94" t="s">
        <v>306</v>
      </c>
      <c r="CA94" t="s">
        <v>325</v>
      </c>
      <c r="CC94" t="s">
        <v>308</v>
      </c>
      <c r="CD94" t="s">
        <v>309</v>
      </c>
      <c r="CE94" t="s">
        <v>294</v>
      </c>
      <c r="CH94" t="s">
        <v>304</v>
      </c>
      <c r="CI94" t="s">
        <v>304</v>
      </c>
      <c r="CK94" t="s">
        <v>335</v>
      </c>
      <c r="CM94" t="s">
        <v>664</v>
      </c>
      <c r="CN94" t="s">
        <v>367</v>
      </c>
      <c r="CO94" t="s">
        <v>312</v>
      </c>
      <c r="CT94" t="s">
        <v>294</v>
      </c>
      <c r="CU94" t="s">
        <v>313</v>
      </c>
      <c r="CV94" t="s">
        <v>314</v>
      </c>
      <c r="CW94" t="s">
        <v>315</v>
      </c>
      <c r="CX94" t="s">
        <v>316</v>
      </c>
      <c r="CZ94" t="s">
        <v>289</v>
      </c>
      <c r="DA94" t="s">
        <v>289</v>
      </c>
      <c r="DB94" t="s">
        <v>289</v>
      </c>
      <c r="DC94" t="s">
        <v>289</v>
      </c>
      <c r="DI94" t="s">
        <v>289</v>
      </c>
      <c r="DL94" t="s">
        <v>289</v>
      </c>
      <c r="DM94" t="s">
        <v>317</v>
      </c>
      <c r="DS94" t="s">
        <v>289</v>
      </c>
      <c r="DT94" t="s">
        <v>289</v>
      </c>
      <c r="DU94" t="s">
        <v>318</v>
      </c>
      <c r="DV94" t="s">
        <v>289</v>
      </c>
      <c r="DX94" t="s">
        <v>319</v>
      </c>
      <c r="EA94" t="s">
        <v>289</v>
      </c>
    </row>
    <row r="95" spans="1:131" x14ac:dyDescent="0.25">
      <c r="A95">
        <v>13858941</v>
      </c>
      <c r="B95">
        <v>953913</v>
      </c>
      <c r="C95" t="str">
        <f>"110701604868"</f>
        <v>110701604868</v>
      </c>
      <c r="D95" t="s">
        <v>665</v>
      </c>
      <c r="E95" t="s">
        <v>666</v>
      </c>
      <c r="G95" s="1">
        <v>40725</v>
      </c>
      <c r="I95" t="s">
        <v>286</v>
      </c>
      <c r="J95" t="s">
        <v>287</v>
      </c>
      <c r="K95" t="s">
        <v>288</v>
      </c>
      <c r="Q95" t="s">
        <v>289</v>
      </c>
      <c r="R95" t="str">
        <f>"КАЗАХСТАН, АКМОЛИНСКАЯ, ЗЕРЕНДИНСКИЙ РАЙОН, Зерендинский, Зеренда, 86, 1"</f>
        <v>КАЗАХСТАН, АКМОЛИНСКАЯ, ЗЕРЕНДИНСКИЙ РАЙОН, Зерендинский, Зеренда, 86, 1</v>
      </c>
      <c r="S95" t="str">
        <f>"ҚАЗАҚСТАН, АҚМОЛА, ЗЕРЕНДІ АУДАНЫ, Зерендинский, Зеренда, 86, 1"</f>
        <v>ҚАЗАҚСТАН, АҚМОЛА, ЗЕРЕНДІ АУДАНЫ, Зерендинский, Зеренда, 86, 1</v>
      </c>
      <c r="T95" t="str">
        <f>"Зерендинский, Зеренда, 86, 1"</f>
        <v>Зерендинский, Зеренда, 86, 1</v>
      </c>
      <c r="U95" t="str">
        <f>"Зерендинский, Зеренда, 86, 1"</f>
        <v>Зерендинский, Зеренда, 86, 1</v>
      </c>
      <c r="AC95" t="str">
        <f>"2016-08-31T00:00:00"</f>
        <v>2016-08-31T00:00:00</v>
      </c>
      <c r="AD95" t="str">
        <f>"60"</f>
        <v>60</v>
      </c>
      <c r="AE95" t="str">
        <f>"2024-09-01T22:55:58"</f>
        <v>2024-09-01T22:55:58</v>
      </c>
      <c r="AF95" t="str">
        <f>"2025-05-25T22:55:58"</f>
        <v>2025-05-25T22:55:58</v>
      </c>
      <c r="AG95" t="s">
        <v>290</v>
      </c>
      <c r="AH95" t="str">
        <f>"gulnur.shaimerden01@mail.ru"</f>
        <v>gulnur.shaimerden01@mail.ru</v>
      </c>
      <c r="AI95" t="s">
        <v>291</v>
      </c>
      <c r="AK95" t="s">
        <v>332</v>
      </c>
      <c r="AP95" t="s">
        <v>293</v>
      </c>
      <c r="AT95" t="s">
        <v>294</v>
      </c>
      <c r="AU95" t="s">
        <v>295</v>
      </c>
      <c r="AW95" t="s">
        <v>296</v>
      </c>
      <c r="AX95">
        <v>1</v>
      </c>
      <c r="AY95" t="s">
        <v>297</v>
      </c>
      <c r="AZ95" t="s">
        <v>298</v>
      </c>
      <c r="BA95" t="s">
        <v>323</v>
      </c>
      <c r="BF95" t="s">
        <v>294</v>
      </c>
      <c r="BG95" t="s">
        <v>300</v>
      </c>
      <c r="BI95" t="s">
        <v>298</v>
      </c>
      <c r="BR95" t="s">
        <v>289</v>
      </c>
      <c r="BS95" t="s">
        <v>301</v>
      </c>
      <c r="BT95" t="s">
        <v>302</v>
      </c>
      <c r="BU95" t="s">
        <v>303</v>
      </c>
      <c r="BV95" t="s">
        <v>304</v>
      </c>
      <c r="BX95" t="s">
        <v>305</v>
      </c>
      <c r="BY95" t="s">
        <v>298</v>
      </c>
      <c r="BZ95" t="s">
        <v>343</v>
      </c>
      <c r="CA95">
        <v>3</v>
      </c>
      <c r="CC95" t="s">
        <v>308</v>
      </c>
      <c r="CD95" t="s">
        <v>309</v>
      </c>
      <c r="CE95" t="s">
        <v>294</v>
      </c>
      <c r="CH95" t="s">
        <v>304</v>
      </c>
      <c r="CI95" t="s">
        <v>304</v>
      </c>
      <c r="CK95" t="s">
        <v>467</v>
      </c>
      <c r="CL95" t="s">
        <v>328</v>
      </c>
      <c r="CM95" t="s">
        <v>298</v>
      </c>
      <c r="CO95" t="s">
        <v>312</v>
      </c>
      <c r="CT95" t="s">
        <v>294</v>
      </c>
      <c r="CU95" t="s">
        <v>313</v>
      </c>
      <c r="CV95" t="s">
        <v>314</v>
      </c>
      <c r="CW95" t="s">
        <v>315</v>
      </c>
      <c r="CX95" t="s">
        <v>316</v>
      </c>
      <c r="CZ95" t="s">
        <v>289</v>
      </c>
      <c r="DA95" t="s">
        <v>289</v>
      </c>
      <c r="DB95" t="s">
        <v>289</v>
      </c>
      <c r="DC95" t="s">
        <v>289</v>
      </c>
      <c r="DI95" t="s">
        <v>289</v>
      </c>
      <c r="DL95" t="s">
        <v>289</v>
      </c>
      <c r="DM95" t="s">
        <v>317</v>
      </c>
      <c r="DN95" t="s">
        <v>304</v>
      </c>
      <c r="DS95" t="s">
        <v>289</v>
      </c>
      <c r="DT95" t="s">
        <v>289</v>
      </c>
      <c r="DU95" t="s">
        <v>318</v>
      </c>
      <c r="DV95" t="s">
        <v>289</v>
      </c>
      <c r="DX95" t="s">
        <v>319</v>
      </c>
      <c r="EA95" t="s">
        <v>289</v>
      </c>
    </row>
    <row r="96" spans="1:131" x14ac:dyDescent="0.25">
      <c r="A96">
        <v>13859069</v>
      </c>
      <c r="B96">
        <v>9145984</v>
      </c>
      <c r="C96" t="str">
        <f>"131102602475"</f>
        <v>131102602475</v>
      </c>
      <c r="D96" t="s">
        <v>667</v>
      </c>
      <c r="E96" t="s">
        <v>668</v>
      </c>
      <c r="F96" t="s">
        <v>669</v>
      </c>
      <c r="G96" s="1">
        <v>41580</v>
      </c>
      <c r="I96" t="s">
        <v>286</v>
      </c>
      <c r="J96" t="s">
        <v>287</v>
      </c>
      <c r="K96" t="s">
        <v>288</v>
      </c>
      <c r="Q96" t="s">
        <v>289</v>
      </c>
      <c r="R96" t="str">
        <f>"КАЗАХСТАН, АКМОЛИНСКАЯ, ЗЕРЕНДИНСКИЙ РАЙОН, Зерендинский, Зеренда, 19"</f>
        <v>КАЗАХСТАН, АКМОЛИНСКАЯ, ЗЕРЕНДИНСКИЙ РАЙОН, Зерендинский, Зеренда, 19</v>
      </c>
      <c r="S96" t="str">
        <f>"ҚАЗАҚСТАН, АҚМОЛА, ЗЕРЕНДІ АУДАНЫ, Зерендинский, Зеренда, 19"</f>
        <v>ҚАЗАҚСТАН, АҚМОЛА, ЗЕРЕНДІ АУДАНЫ, Зерендинский, Зеренда, 19</v>
      </c>
      <c r="T96" t="str">
        <f>"Зерендинский, Зеренда, 19"</f>
        <v>Зерендинский, Зеренда, 19</v>
      </c>
      <c r="U96" t="str">
        <f>"Зерендинский, Зеренда, 19"</f>
        <v>Зерендинский, Зеренда, 19</v>
      </c>
      <c r="AC96" t="str">
        <f>"2020-07-23T00:00:00"</f>
        <v>2020-07-23T00:00:00</v>
      </c>
      <c r="AD96" t="str">
        <f>"39"</f>
        <v>39</v>
      </c>
      <c r="AE96" t="str">
        <f>"2024-09-01T21:18:58"</f>
        <v>2024-09-01T21:18:58</v>
      </c>
      <c r="AF96" t="str">
        <f>"2025-05-25T21:18:58"</f>
        <v>2025-05-25T21:18:58</v>
      </c>
      <c r="AG96" t="s">
        <v>290</v>
      </c>
      <c r="AI96" t="s">
        <v>476</v>
      </c>
      <c r="AK96" t="s">
        <v>634</v>
      </c>
      <c r="AP96" t="s">
        <v>342</v>
      </c>
      <c r="AT96" t="s">
        <v>294</v>
      </c>
      <c r="AU96" t="s">
        <v>295</v>
      </c>
      <c r="AW96" t="s">
        <v>296</v>
      </c>
      <c r="AX96">
        <v>2</v>
      </c>
      <c r="AY96" t="s">
        <v>297</v>
      </c>
      <c r="AZ96" t="s">
        <v>298</v>
      </c>
      <c r="BA96" t="s">
        <v>349</v>
      </c>
      <c r="BF96" t="s">
        <v>294</v>
      </c>
      <c r="BG96" t="s">
        <v>300</v>
      </c>
      <c r="BI96" t="s">
        <v>298</v>
      </c>
      <c r="BR96" t="s">
        <v>289</v>
      </c>
      <c r="BS96" t="s">
        <v>301</v>
      </c>
      <c r="BT96" t="s">
        <v>302</v>
      </c>
      <c r="BU96" t="s">
        <v>303</v>
      </c>
      <c r="BV96" t="s">
        <v>304</v>
      </c>
      <c r="BX96" t="s">
        <v>392</v>
      </c>
      <c r="BY96" t="s">
        <v>298</v>
      </c>
      <c r="BZ96" t="s">
        <v>306</v>
      </c>
      <c r="CA96" t="s">
        <v>393</v>
      </c>
      <c r="CC96" t="s">
        <v>308</v>
      </c>
      <c r="CD96" t="s">
        <v>309</v>
      </c>
      <c r="CE96" t="s">
        <v>294</v>
      </c>
      <c r="CH96" t="s">
        <v>304</v>
      </c>
      <c r="CI96" t="s">
        <v>304</v>
      </c>
      <c r="CK96" t="s">
        <v>335</v>
      </c>
      <c r="CM96" t="s">
        <v>467</v>
      </c>
      <c r="CN96" t="s">
        <v>328</v>
      </c>
      <c r="CO96" t="s">
        <v>312</v>
      </c>
      <c r="CT96" t="s">
        <v>294</v>
      </c>
      <c r="CU96" t="s">
        <v>313</v>
      </c>
      <c r="CV96" t="s">
        <v>314</v>
      </c>
      <c r="CW96" t="s">
        <v>315</v>
      </c>
      <c r="CX96" t="s">
        <v>316</v>
      </c>
      <c r="CZ96" t="s">
        <v>289</v>
      </c>
      <c r="DA96" t="s">
        <v>289</v>
      </c>
      <c r="DB96" t="s">
        <v>289</v>
      </c>
      <c r="DC96" t="s">
        <v>289</v>
      </c>
      <c r="DI96" t="s">
        <v>289</v>
      </c>
      <c r="DL96" t="s">
        <v>289</v>
      </c>
      <c r="DM96" t="s">
        <v>317</v>
      </c>
      <c r="DS96" t="s">
        <v>289</v>
      </c>
      <c r="DT96" t="s">
        <v>289</v>
      </c>
      <c r="DU96" t="s">
        <v>318</v>
      </c>
      <c r="DV96" t="s">
        <v>289</v>
      </c>
      <c r="DX96" t="s">
        <v>319</v>
      </c>
      <c r="EA96" t="s">
        <v>289</v>
      </c>
    </row>
    <row r="97" spans="1:231" x14ac:dyDescent="0.25">
      <c r="A97">
        <v>15542136</v>
      </c>
      <c r="B97">
        <v>944716</v>
      </c>
      <c r="C97" t="str">
        <f>"120515602486"</f>
        <v>120515602486</v>
      </c>
      <c r="D97" t="s">
        <v>670</v>
      </c>
      <c r="E97" t="s">
        <v>671</v>
      </c>
      <c r="F97" t="s">
        <v>575</v>
      </c>
      <c r="G97" s="1">
        <v>41044</v>
      </c>
      <c r="I97" t="s">
        <v>286</v>
      </c>
      <c r="J97" t="s">
        <v>287</v>
      </c>
      <c r="K97" t="s">
        <v>288</v>
      </c>
      <c r="Q97" t="s">
        <v>289</v>
      </c>
      <c r="R97" t="str">
        <f>"КАЗАХСТАН, АКМОЛИНСКАЯ, ЗЕРЕНДИНСКИЙ РАЙОН, Зерендинский, Зеренда, 10, 1"</f>
        <v>КАЗАХСТАН, АКМОЛИНСКАЯ, ЗЕРЕНДИНСКИЙ РАЙОН, Зерендинский, Зеренда, 10, 1</v>
      </c>
      <c r="S97" t="str">
        <f>"ҚАЗАҚСТАН, АҚМОЛА, ЗЕРЕНДІ АУДАНЫ, Зерендинский, Зеренда, 10, 1"</f>
        <v>ҚАЗАҚСТАН, АҚМОЛА, ЗЕРЕНДІ АУДАНЫ, Зерендинский, Зеренда, 10, 1</v>
      </c>
      <c r="T97" t="str">
        <f>"Зерендинский, Зеренда, 10, 1"</f>
        <v>Зерендинский, Зеренда, 10, 1</v>
      </c>
      <c r="U97" t="str">
        <f>"Зерендинский, Зеренда, 10, 1"</f>
        <v>Зерендинский, Зеренда, 10, 1</v>
      </c>
      <c r="AC97" t="str">
        <f>"2020-08-13T00:00:00"</f>
        <v>2020-08-13T00:00:00</v>
      </c>
      <c r="AD97" t="str">
        <f>"53"</f>
        <v>53</v>
      </c>
      <c r="AE97" t="str">
        <f>"2024-09-01T21:35:17"</f>
        <v>2024-09-01T21:35:17</v>
      </c>
      <c r="AF97" t="str">
        <f>"2025-05-25T21:35:17"</f>
        <v>2025-05-25T21:35:17</v>
      </c>
      <c r="AG97" t="s">
        <v>290</v>
      </c>
      <c r="AI97" t="s">
        <v>373</v>
      </c>
      <c r="AK97" t="s">
        <v>465</v>
      </c>
      <c r="AP97" t="s">
        <v>342</v>
      </c>
      <c r="AT97" t="s">
        <v>294</v>
      </c>
      <c r="AU97" t="s">
        <v>295</v>
      </c>
      <c r="AW97" t="s">
        <v>296</v>
      </c>
      <c r="AX97">
        <v>2</v>
      </c>
      <c r="AY97" t="s">
        <v>297</v>
      </c>
      <c r="AZ97" t="s">
        <v>298</v>
      </c>
      <c r="BA97" t="s">
        <v>323</v>
      </c>
      <c r="BF97" t="s">
        <v>294</v>
      </c>
      <c r="BG97" t="s">
        <v>300</v>
      </c>
      <c r="BI97" t="s">
        <v>298</v>
      </c>
      <c r="BR97" t="s">
        <v>289</v>
      </c>
      <c r="BS97" t="s">
        <v>301</v>
      </c>
      <c r="BT97" t="s">
        <v>302</v>
      </c>
      <c r="BU97" t="s">
        <v>303</v>
      </c>
      <c r="BV97" t="s">
        <v>304</v>
      </c>
      <c r="BX97" t="s">
        <v>324</v>
      </c>
      <c r="BY97" t="s">
        <v>298</v>
      </c>
      <c r="BZ97" t="s">
        <v>306</v>
      </c>
      <c r="CA97" t="s">
        <v>387</v>
      </c>
      <c r="CC97" t="s">
        <v>308</v>
      </c>
      <c r="CD97" t="s">
        <v>309</v>
      </c>
      <c r="CE97" t="s">
        <v>294</v>
      </c>
      <c r="CH97" t="s">
        <v>304</v>
      </c>
      <c r="CI97" t="s">
        <v>304</v>
      </c>
      <c r="CK97" t="s">
        <v>471</v>
      </c>
      <c r="CL97" t="s">
        <v>328</v>
      </c>
      <c r="CM97" t="s">
        <v>298</v>
      </c>
      <c r="CO97" t="s">
        <v>672</v>
      </c>
      <c r="CP97" t="s">
        <v>673</v>
      </c>
      <c r="CQ97" t="s">
        <v>674</v>
      </c>
      <c r="CR97" t="s">
        <v>675</v>
      </c>
      <c r="CS97" t="s">
        <v>676</v>
      </c>
      <c r="CT97" t="s">
        <v>294</v>
      </c>
      <c r="CU97" t="s">
        <v>313</v>
      </c>
      <c r="CV97" t="s">
        <v>314</v>
      </c>
      <c r="CW97" t="s">
        <v>315</v>
      </c>
      <c r="CX97" t="s">
        <v>316</v>
      </c>
      <c r="CZ97" t="s">
        <v>289</v>
      </c>
      <c r="DA97" t="s">
        <v>289</v>
      </c>
      <c r="DB97" t="s">
        <v>289</v>
      </c>
      <c r="DC97" t="s">
        <v>289</v>
      </c>
      <c r="DI97" t="s">
        <v>289</v>
      </c>
      <c r="DL97" t="s">
        <v>289</v>
      </c>
      <c r="DM97" t="s">
        <v>317</v>
      </c>
      <c r="DS97" t="s">
        <v>289</v>
      </c>
      <c r="DT97" t="s">
        <v>289</v>
      </c>
      <c r="DU97" t="s">
        <v>318</v>
      </c>
      <c r="DV97" t="s">
        <v>289</v>
      </c>
      <c r="DX97" t="s">
        <v>319</v>
      </c>
      <c r="EA97" t="s">
        <v>289</v>
      </c>
    </row>
    <row r="98" spans="1:231" x14ac:dyDescent="0.25">
      <c r="A98">
        <v>15560744</v>
      </c>
      <c r="B98">
        <v>84301</v>
      </c>
      <c r="C98" t="str">
        <f>"090303650247"</f>
        <v>090303650247</v>
      </c>
      <c r="D98" t="s">
        <v>677</v>
      </c>
      <c r="E98" t="s">
        <v>340</v>
      </c>
      <c r="F98" t="s">
        <v>678</v>
      </c>
      <c r="G98" s="1">
        <v>39875</v>
      </c>
      <c r="I98" t="s">
        <v>286</v>
      </c>
      <c r="J98" t="s">
        <v>287</v>
      </c>
      <c r="K98" t="s">
        <v>288</v>
      </c>
      <c r="Q98" t="s">
        <v>289</v>
      </c>
      <c r="R98" t="str">
        <f>"КАЗАХСТАН, АКМОЛИНСКАЯ, ЗЕРЕНДИНСКИЙ РАЙОН, Троицкий, Карсак, 5, 2"</f>
        <v>КАЗАХСТАН, АКМОЛИНСКАЯ, ЗЕРЕНДИНСКИЙ РАЙОН, Троицкий, Карсак, 5, 2</v>
      </c>
      <c r="S98" t="str">
        <f>"ҚАЗАҚСТАН, АҚМОЛА, ЗЕРЕНДІ АУДАНЫ, Троицкий, Карсак, 5, 2"</f>
        <v>ҚАЗАҚСТАН, АҚМОЛА, ЗЕРЕНДІ АУДАНЫ, Троицкий, Карсак, 5, 2</v>
      </c>
      <c r="T98" t="str">
        <f>"Троицкий, Карсак, 5, 2"</f>
        <v>Троицкий, Карсак, 5, 2</v>
      </c>
      <c r="U98" t="str">
        <f>"Троицкий, Карсак, 5, 2"</f>
        <v>Троицкий, Карсак, 5, 2</v>
      </c>
      <c r="AC98" t="str">
        <f>"2020-08-10T00:00:00"</f>
        <v>2020-08-10T00:00:00</v>
      </c>
      <c r="AD98" t="str">
        <f>"51"</f>
        <v>51</v>
      </c>
      <c r="AE98" t="str">
        <f>"2024-09-01T18:22:10"</f>
        <v>2024-09-01T18:22:10</v>
      </c>
      <c r="AF98" t="str">
        <f>"2025-05-25T18:22:10"</f>
        <v>2025-05-25T18:22:10</v>
      </c>
      <c r="AG98" t="s">
        <v>290</v>
      </c>
      <c r="AH98" t="str">
        <f>"nazik0303@mail.ru"</f>
        <v>nazik0303@mail.ru</v>
      </c>
      <c r="AI98" t="s">
        <v>476</v>
      </c>
      <c r="AK98" t="s">
        <v>402</v>
      </c>
      <c r="AP98" t="s">
        <v>293</v>
      </c>
      <c r="AT98" t="s">
        <v>294</v>
      </c>
      <c r="AU98" t="s">
        <v>679</v>
      </c>
      <c r="AW98" t="s">
        <v>296</v>
      </c>
      <c r="AX98">
        <v>1</v>
      </c>
      <c r="AY98" t="s">
        <v>297</v>
      </c>
      <c r="AZ98" t="s">
        <v>298</v>
      </c>
      <c r="BA98" t="s">
        <v>349</v>
      </c>
      <c r="BE98" t="str">
        <f>"2020-08-26T15:31:36"</f>
        <v>2020-08-26T15:31:36</v>
      </c>
      <c r="BF98" t="s">
        <v>294</v>
      </c>
      <c r="BG98" t="s">
        <v>300</v>
      </c>
      <c r="BI98" t="s">
        <v>298</v>
      </c>
      <c r="BR98" t="s">
        <v>289</v>
      </c>
      <c r="BS98" t="s">
        <v>433</v>
      </c>
      <c r="BT98" t="s">
        <v>434</v>
      </c>
      <c r="BU98" t="s">
        <v>303</v>
      </c>
      <c r="BV98" t="s">
        <v>365</v>
      </c>
      <c r="BX98" t="s">
        <v>324</v>
      </c>
      <c r="BY98" t="s">
        <v>298</v>
      </c>
      <c r="BZ98" t="s">
        <v>403</v>
      </c>
      <c r="CA98" t="s">
        <v>410</v>
      </c>
      <c r="CC98" t="s">
        <v>308</v>
      </c>
      <c r="CD98" t="s">
        <v>309</v>
      </c>
      <c r="CE98" t="s">
        <v>294</v>
      </c>
      <c r="CH98" t="s">
        <v>304</v>
      </c>
      <c r="CI98" t="s">
        <v>304</v>
      </c>
      <c r="CK98" t="s">
        <v>375</v>
      </c>
      <c r="CL98" t="s">
        <v>328</v>
      </c>
      <c r="CM98" t="s">
        <v>298</v>
      </c>
      <c r="CO98" t="s">
        <v>312</v>
      </c>
      <c r="CT98" t="s">
        <v>294</v>
      </c>
      <c r="CU98" t="s">
        <v>405</v>
      </c>
      <c r="CW98" t="s">
        <v>406</v>
      </c>
      <c r="CX98" t="s">
        <v>316</v>
      </c>
      <c r="CZ98" t="s">
        <v>289</v>
      </c>
      <c r="DA98" t="s">
        <v>289</v>
      </c>
      <c r="DB98" t="s">
        <v>289</v>
      </c>
      <c r="DC98" t="s">
        <v>289</v>
      </c>
      <c r="DI98" t="s">
        <v>289</v>
      </c>
      <c r="DL98" t="s">
        <v>289</v>
      </c>
      <c r="DM98" t="s">
        <v>317</v>
      </c>
      <c r="DS98" t="s">
        <v>289</v>
      </c>
      <c r="DT98" t="s">
        <v>289</v>
      </c>
      <c r="DU98" t="s">
        <v>318</v>
      </c>
      <c r="DV98" t="s">
        <v>289</v>
      </c>
      <c r="DX98" t="s">
        <v>368</v>
      </c>
      <c r="DY98" t="s">
        <v>472</v>
      </c>
      <c r="DZ98" t="s">
        <v>473</v>
      </c>
      <c r="EA98" t="s">
        <v>289</v>
      </c>
    </row>
    <row r="99" spans="1:231" x14ac:dyDescent="0.25">
      <c r="A99">
        <v>15560771</v>
      </c>
      <c r="B99">
        <v>84327</v>
      </c>
      <c r="C99" t="str">
        <f>"100626654002"</f>
        <v>100626654002</v>
      </c>
      <c r="D99" t="s">
        <v>680</v>
      </c>
      <c r="E99" t="s">
        <v>681</v>
      </c>
      <c r="F99" t="s">
        <v>682</v>
      </c>
      <c r="G99" s="1">
        <v>40355</v>
      </c>
      <c r="I99" t="s">
        <v>286</v>
      </c>
      <c r="J99" t="s">
        <v>287</v>
      </c>
      <c r="K99" t="s">
        <v>288</v>
      </c>
      <c r="Q99" t="s">
        <v>289</v>
      </c>
      <c r="R99" t="str">
        <f>"КАЗАХСТАН, АКМОЛИНСКАЯ, ЗЕРЕНДИНСКИЙ РАЙОН, Троицкий, Карсак, 12"</f>
        <v>КАЗАХСТАН, АКМОЛИНСКАЯ, ЗЕРЕНДИНСКИЙ РАЙОН, Троицкий, Карсак, 12</v>
      </c>
      <c r="S99" t="str">
        <f>"ҚАЗАҚСТАН, АҚМОЛА, ЗЕРЕНДІ АУДАНЫ, Троицкий, Карсак, 12"</f>
        <v>ҚАЗАҚСТАН, АҚМОЛА, ЗЕРЕНДІ АУДАНЫ, Троицкий, Карсак, 12</v>
      </c>
      <c r="T99" t="str">
        <f>"Троицкий, Карсак, 12"</f>
        <v>Троицкий, Карсак, 12</v>
      </c>
      <c r="U99" t="str">
        <f>"Троицкий, Карсак, 12"</f>
        <v>Троицкий, Карсак, 12</v>
      </c>
      <c r="AC99" t="str">
        <f>"2020-08-13T00:00:00"</f>
        <v>2020-08-13T00:00:00</v>
      </c>
      <c r="AD99" t="str">
        <f>"53"</f>
        <v>53</v>
      </c>
      <c r="AE99" t="str">
        <f>"2024-09-01T18:38:15"</f>
        <v>2024-09-01T18:38:15</v>
      </c>
      <c r="AF99" t="str">
        <f>"2025-05-25T18:38:15"</f>
        <v>2025-05-25T18:38:15</v>
      </c>
      <c r="AG99" t="s">
        <v>290</v>
      </c>
      <c r="AH99" t="str">
        <f>"nazgul2010@mail.ru"</f>
        <v>nazgul2010@mail.ru</v>
      </c>
      <c r="AI99" t="s">
        <v>476</v>
      </c>
      <c r="AK99" t="s">
        <v>402</v>
      </c>
      <c r="AP99" t="s">
        <v>342</v>
      </c>
      <c r="AT99" t="s">
        <v>294</v>
      </c>
      <c r="AU99" t="s">
        <v>679</v>
      </c>
      <c r="AW99" t="s">
        <v>296</v>
      </c>
      <c r="AX99">
        <v>1</v>
      </c>
      <c r="AY99" t="s">
        <v>297</v>
      </c>
      <c r="AZ99" t="s">
        <v>298</v>
      </c>
      <c r="BA99" t="s">
        <v>323</v>
      </c>
      <c r="BF99" t="s">
        <v>294</v>
      </c>
      <c r="BG99" t="s">
        <v>300</v>
      </c>
      <c r="BI99" t="s">
        <v>298</v>
      </c>
      <c r="BR99" t="s">
        <v>289</v>
      </c>
      <c r="BS99" t="s">
        <v>433</v>
      </c>
      <c r="BT99" t="s">
        <v>434</v>
      </c>
      <c r="BU99" t="s">
        <v>303</v>
      </c>
      <c r="BV99" t="s">
        <v>304</v>
      </c>
      <c r="BX99" t="s">
        <v>324</v>
      </c>
      <c r="BY99" t="s">
        <v>298</v>
      </c>
      <c r="BZ99" t="s">
        <v>403</v>
      </c>
      <c r="CA99" t="s">
        <v>683</v>
      </c>
      <c r="CC99" t="s">
        <v>308</v>
      </c>
      <c r="CD99" t="s">
        <v>309</v>
      </c>
      <c r="CE99" t="s">
        <v>294</v>
      </c>
      <c r="CH99" t="s">
        <v>304</v>
      </c>
      <c r="CI99" t="s">
        <v>304</v>
      </c>
      <c r="CK99" t="s">
        <v>327</v>
      </c>
      <c r="CL99" t="s">
        <v>328</v>
      </c>
      <c r="CM99" t="s">
        <v>581</v>
      </c>
      <c r="CN99" t="s">
        <v>328</v>
      </c>
      <c r="CO99" t="s">
        <v>312</v>
      </c>
      <c r="CT99" t="s">
        <v>294</v>
      </c>
      <c r="CU99" t="s">
        <v>405</v>
      </c>
      <c r="CW99" t="s">
        <v>406</v>
      </c>
      <c r="CX99" t="s">
        <v>316</v>
      </c>
      <c r="CZ99" t="s">
        <v>289</v>
      </c>
      <c r="DA99" t="s">
        <v>289</v>
      </c>
      <c r="DB99" t="s">
        <v>289</v>
      </c>
      <c r="DC99" t="s">
        <v>289</v>
      </c>
      <c r="DI99" t="s">
        <v>289</v>
      </c>
      <c r="DL99" t="s">
        <v>289</v>
      </c>
      <c r="DM99" t="s">
        <v>317</v>
      </c>
      <c r="DS99" t="s">
        <v>289</v>
      </c>
      <c r="DT99" t="s">
        <v>289</v>
      </c>
      <c r="DU99" t="s">
        <v>318</v>
      </c>
      <c r="DV99" t="s">
        <v>289</v>
      </c>
      <c r="DX99" t="s">
        <v>319</v>
      </c>
      <c r="EA99" t="s">
        <v>289</v>
      </c>
    </row>
    <row r="100" spans="1:231" x14ac:dyDescent="0.25">
      <c r="A100">
        <v>15560782</v>
      </c>
      <c r="B100">
        <v>84333</v>
      </c>
      <c r="C100" t="str">
        <f>"100206652378"</f>
        <v>100206652378</v>
      </c>
      <c r="D100" t="s">
        <v>587</v>
      </c>
      <c r="E100" t="s">
        <v>684</v>
      </c>
      <c r="F100" t="s">
        <v>685</v>
      </c>
      <c r="G100" s="1">
        <v>40215</v>
      </c>
      <c r="I100" t="s">
        <v>286</v>
      </c>
      <c r="J100" t="s">
        <v>287</v>
      </c>
      <c r="K100" t="s">
        <v>288</v>
      </c>
      <c r="Q100" t="s">
        <v>289</v>
      </c>
      <c r="R100" t="str">
        <f>"КАЗАХСТАН, АКМОЛИНСКАЯ, ЗЕРЕНДИНСКИЙ РАЙОН, Троицкий, Карсак, 27"</f>
        <v>КАЗАХСТАН, АКМОЛИНСКАЯ, ЗЕРЕНДИНСКИЙ РАЙОН, Троицкий, Карсак, 27</v>
      </c>
      <c r="S100" t="str">
        <f>"ҚАЗАҚСТАН, АҚМОЛА, ЗЕРЕНДІ АУДАНЫ, Троицкий, Карсак, 27"</f>
        <v>ҚАЗАҚСТАН, АҚМОЛА, ЗЕРЕНДІ АУДАНЫ, Троицкий, Карсак, 27</v>
      </c>
      <c r="T100" t="str">
        <f>"Троицкий, Карсак, 27"</f>
        <v>Троицкий, Карсак, 27</v>
      </c>
      <c r="U100" t="str">
        <f>"Троицкий, Карсак, 27"</f>
        <v>Троицкий, Карсак, 27</v>
      </c>
      <c r="AC100" t="str">
        <f>"2020-08-07T00:00:00"</f>
        <v>2020-08-07T00:00:00</v>
      </c>
      <c r="AD100" t="str">
        <f>"47"</f>
        <v>47</v>
      </c>
      <c r="AE100" t="str">
        <f>"2024-09-01T18:22:46"</f>
        <v>2024-09-01T18:22:46</v>
      </c>
      <c r="AF100" t="str">
        <f>"2025-05-25T18:22:46"</f>
        <v>2025-05-25T18:22:46</v>
      </c>
      <c r="AG100" t="s">
        <v>290</v>
      </c>
      <c r="AH100" t="str">
        <f>"Akerke2010@mail.ru"</f>
        <v>Akerke2010@mail.ru</v>
      </c>
      <c r="AI100" t="s">
        <v>476</v>
      </c>
      <c r="AK100" t="s">
        <v>402</v>
      </c>
      <c r="AP100" t="s">
        <v>293</v>
      </c>
      <c r="AT100" t="s">
        <v>294</v>
      </c>
      <c r="AU100" t="s">
        <v>295</v>
      </c>
      <c r="AW100" t="s">
        <v>296</v>
      </c>
      <c r="AX100">
        <v>1</v>
      </c>
      <c r="AY100" t="s">
        <v>297</v>
      </c>
      <c r="AZ100" t="s">
        <v>298</v>
      </c>
      <c r="BA100" t="s">
        <v>349</v>
      </c>
      <c r="BE100" t="str">
        <f>"2020-11-03T20:27:54"</f>
        <v>2020-11-03T20:27:54</v>
      </c>
      <c r="BF100" t="s">
        <v>294</v>
      </c>
      <c r="BG100" t="s">
        <v>300</v>
      </c>
      <c r="BI100" t="s">
        <v>298</v>
      </c>
      <c r="BR100" t="s">
        <v>289</v>
      </c>
      <c r="BS100" t="s">
        <v>301</v>
      </c>
      <c r="BT100" t="s">
        <v>302</v>
      </c>
      <c r="BU100" t="s">
        <v>303</v>
      </c>
      <c r="BV100" t="s">
        <v>365</v>
      </c>
      <c r="BX100" t="s">
        <v>305</v>
      </c>
      <c r="BY100" t="s">
        <v>298</v>
      </c>
      <c r="BZ100" t="s">
        <v>403</v>
      </c>
      <c r="CA100" t="s">
        <v>410</v>
      </c>
      <c r="CC100" t="s">
        <v>308</v>
      </c>
      <c r="CD100" t="s">
        <v>309</v>
      </c>
      <c r="CE100" t="s">
        <v>294</v>
      </c>
      <c r="CH100" t="s">
        <v>304</v>
      </c>
      <c r="CI100" t="s">
        <v>304</v>
      </c>
      <c r="CK100" t="s">
        <v>327</v>
      </c>
      <c r="CL100" t="s">
        <v>328</v>
      </c>
      <c r="CM100" t="s">
        <v>298</v>
      </c>
      <c r="CO100" t="s">
        <v>312</v>
      </c>
      <c r="CT100" t="s">
        <v>294</v>
      </c>
      <c r="CU100" t="s">
        <v>405</v>
      </c>
      <c r="CW100" t="s">
        <v>406</v>
      </c>
      <c r="CX100" t="s">
        <v>316</v>
      </c>
      <c r="CZ100" t="s">
        <v>289</v>
      </c>
      <c r="DA100" t="s">
        <v>289</v>
      </c>
      <c r="DB100" t="s">
        <v>289</v>
      </c>
      <c r="DC100" t="s">
        <v>289</v>
      </c>
      <c r="DI100" t="s">
        <v>289</v>
      </c>
      <c r="DL100" t="s">
        <v>289</v>
      </c>
      <c r="DM100" t="s">
        <v>317</v>
      </c>
      <c r="DS100" t="s">
        <v>289</v>
      </c>
      <c r="DT100" t="s">
        <v>289</v>
      </c>
      <c r="DU100" t="s">
        <v>318</v>
      </c>
      <c r="DV100" t="s">
        <v>289</v>
      </c>
      <c r="DX100" t="s">
        <v>368</v>
      </c>
      <c r="DY100" t="s">
        <v>472</v>
      </c>
      <c r="DZ100" t="s">
        <v>473</v>
      </c>
      <c r="EA100" t="s">
        <v>294</v>
      </c>
    </row>
    <row r="101" spans="1:231" x14ac:dyDescent="0.25">
      <c r="A101">
        <v>15560799</v>
      </c>
      <c r="B101">
        <v>84321</v>
      </c>
      <c r="C101" t="str">
        <f>"100110653445"</f>
        <v>100110653445</v>
      </c>
      <c r="D101" t="s">
        <v>686</v>
      </c>
      <c r="E101" t="s">
        <v>603</v>
      </c>
      <c r="F101" t="s">
        <v>687</v>
      </c>
      <c r="G101" s="1">
        <v>40188</v>
      </c>
      <c r="I101" t="s">
        <v>286</v>
      </c>
      <c r="J101" t="s">
        <v>287</v>
      </c>
      <c r="K101" t="s">
        <v>288</v>
      </c>
      <c r="Q101" t="s">
        <v>289</v>
      </c>
      <c r="R101" t="str">
        <f>"КАЗАХСТАН, АКМОЛИНСКАЯ, ЗЕРЕНДИНСКИЙ РАЙОН, Троицкий, Карсак, 14"</f>
        <v>КАЗАХСТАН, АКМОЛИНСКАЯ, ЗЕРЕНДИНСКИЙ РАЙОН, Троицкий, Карсак, 14</v>
      </c>
      <c r="S101" t="str">
        <f>"ҚАЗАҚСТАН, АҚМОЛА, ЗЕРЕНДІ АУДАНЫ, Троицкий, Карсак, 14"</f>
        <v>ҚАЗАҚСТАН, АҚМОЛА, ЗЕРЕНДІ АУДАНЫ, Троицкий, Карсак, 14</v>
      </c>
      <c r="T101" t="str">
        <f>"Троицкий, Карсак, 14"</f>
        <v>Троицкий, Карсак, 14</v>
      </c>
      <c r="U101" t="str">
        <f>"Троицкий, Карсак, 14"</f>
        <v>Троицкий, Карсак, 14</v>
      </c>
      <c r="AC101" t="str">
        <f>"2020-08-13T00:00:00"</f>
        <v>2020-08-13T00:00:00</v>
      </c>
      <c r="AD101" t="str">
        <f>"53"</f>
        <v>53</v>
      </c>
      <c r="AE101" t="str">
        <f>"2024-09-01T18:38:46"</f>
        <v>2024-09-01T18:38:46</v>
      </c>
      <c r="AF101" t="str">
        <f>"2025-05-25T18:38:46"</f>
        <v>2025-05-25T18:38:46</v>
      </c>
      <c r="AG101" t="s">
        <v>290</v>
      </c>
      <c r="AH101" t="str">
        <f>"nuray10@mail.ru"</f>
        <v>nuray10@mail.ru</v>
      </c>
      <c r="AI101" t="s">
        <v>476</v>
      </c>
      <c r="AK101" t="s">
        <v>402</v>
      </c>
      <c r="AP101" t="s">
        <v>342</v>
      </c>
      <c r="AT101" t="s">
        <v>294</v>
      </c>
      <c r="AU101" t="s">
        <v>679</v>
      </c>
      <c r="AW101" t="s">
        <v>296</v>
      </c>
      <c r="AX101">
        <v>1</v>
      </c>
      <c r="AY101" t="s">
        <v>297</v>
      </c>
      <c r="AZ101" t="s">
        <v>298</v>
      </c>
      <c r="BA101" t="s">
        <v>323</v>
      </c>
      <c r="BF101" t="s">
        <v>294</v>
      </c>
      <c r="BG101" t="s">
        <v>300</v>
      </c>
      <c r="BI101" t="s">
        <v>298</v>
      </c>
      <c r="BR101" t="s">
        <v>289</v>
      </c>
      <c r="BS101" t="s">
        <v>433</v>
      </c>
      <c r="BT101" t="s">
        <v>434</v>
      </c>
      <c r="BU101" t="s">
        <v>303</v>
      </c>
      <c r="BV101" t="s">
        <v>304</v>
      </c>
      <c r="BX101" t="s">
        <v>324</v>
      </c>
      <c r="BY101" t="s">
        <v>298</v>
      </c>
      <c r="BZ101" t="s">
        <v>403</v>
      </c>
      <c r="CA101" t="s">
        <v>526</v>
      </c>
      <c r="CC101" t="s">
        <v>308</v>
      </c>
      <c r="CD101" t="s">
        <v>309</v>
      </c>
      <c r="CE101" t="s">
        <v>294</v>
      </c>
      <c r="CH101" t="s">
        <v>304</v>
      </c>
      <c r="CI101" t="s">
        <v>304</v>
      </c>
      <c r="CK101" t="s">
        <v>382</v>
      </c>
      <c r="CL101" t="s">
        <v>328</v>
      </c>
      <c r="CM101" t="s">
        <v>625</v>
      </c>
      <c r="CN101" t="s">
        <v>487</v>
      </c>
      <c r="CO101" t="s">
        <v>312</v>
      </c>
      <c r="CT101" t="s">
        <v>294</v>
      </c>
      <c r="CU101" t="s">
        <v>405</v>
      </c>
      <c r="CW101" t="s">
        <v>406</v>
      </c>
      <c r="CX101" t="s">
        <v>316</v>
      </c>
      <c r="CZ101" t="s">
        <v>289</v>
      </c>
      <c r="DA101" t="s">
        <v>289</v>
      </c>
      <c r="DB101" t="s">
        <v>289</v>
      </c>
      <c r="DC101" t="s">
        <v>289</v>
      </c>
      <c r="DI101" t="s">
        <v>289</v>
      </c>
      <c r="DL101" t="s">
        <v>289</v>
      </c>
      <c r="DM101" t="s">
        <v>317</v>
      </c>
      <c r="DS101" t="s">
        <v>289</v>
      </c>
      <c r="DT101" t="s">
        <v>289</v>
      </c>
      <c r="DU101" t="s">
        <v>318</v>
      </c>
      <c r="DV101" t="s">
        <v>289</v>
      </c>
      <c r="DX101" t="s">
        <v>319</v>
      </c>
      <c r="EA101" t="s">
        <v>289</v>
      </c>
    </row>
    <row r="102" spans="1:231" x14ac:dyDescent="0.25">
      <c r="A102">
        <v>15591562</v>
      </c>
      <c r="B102">
        <v>81335</v>
      </c>
      <c r="C102" t="str">
        <f>"100310552854"</f>
        <v>100310552854</v>
      </c>
      <c r="D102" t="s">
        <v>688</v>
      </c>
      <c r="E102" t="s">
        <v>689</v>
      </c>
      <c r="F102" t="s">
        <v>690</v>
      </c>
      <c r="G102" s="1">
        <v>40247</v>
      </c>
      <c r="I102" t="s">
        <v>353</v>
      </c>
      <c r="J102" t="s">
        <v>287</v>
      </c>
      <c r="K102" t="s">
        <v>288</v>
      </c>
      <c r="Q102" t="s">
        <v>289</v>
      </c>
      <c r="R102" t="str">
        <f>"КАЗАХСТАН, АКМОЛИНСКАЯ, ЗЕРЕНДИНСКИЙ РАЙОН, Троицкий, Кошкарбай, 18"</f>
        <v>КАЗАХСТАН, АКМОЛИНСКАЯ, ЗЕРЕНДИНСКИЙ РАЙОН, Троицкий, Кошкарбай, 18</v>
      </c>
      <c r="S102" t="str">
        <f>"ҚАЗАҚСТАН, АҚМОЛА, ЗЕРЕНДІ АУДАНЫ, Троицкий, Кошкарбай, 18"</f>
        <v>ҚАЗАҚСТАН, АҚМОЛА, ЗЕРЕНДІ АУДАНЫ, Троицкий, Кошкарбай, 18</v>
      </c>
      <c r="T102" t="str">
        <f>"Троицкий, Кошкарбай, 18"</f>
        <v>Троицкий, Кошкарбай, 18</v>
      </c>
      <c r="U102" t="str">
        <f>"Троицкий, Кошкарбай, 18"</f>
        <v>Троицкий, Кошкарбай, 18</v>
      </c>
      <c r="AC102" t="str">
        <f>"2020-08-21T00:00:00"</f>
        <v>2020-08-21T00:00:00</v>
      </c>
      <c r="AD102" t="str">
        <f>"58"</f>
        <v>58</v>
      </c>
      <c r="AE102" t="str">
        <f>"2024-09-01T18:23:18"</f>
        <v>2024-09-01T18:23:18</v>
      </c>
      <c r="AF102" t="str">
        <f>"2025-05-25T18:23:18"</f>
        <v>2025-05-25T18:23:18</v>
      </c>
      <c r="AG102" t="s">
        <v>290</v>
      </c>
      <c r="AH102" t="str">
        <f>"Shah2010@mail.ru"</f>
        <v>Shah2010@mail.ru</v>
      </c>
      <c r="AI102" t="s">
        <v>476</v>
      </c>
      <c r="AK102" t="s">
        <v>402</v>
      </c>
      <c r="AP102" t="s">
        <v>293</v>
      </c>
      <c r="AT102" t="s">
        <v>294</v>
      </c>
      <c r="AU102" t="s">
        <v>295</v>
      </c>
      <c r="AW102" t="s">
        <v>296</v>
      </c>
      <c r="AX102">
        <v>1</v>
      </c>
      <c r="AY102" t="s">
        <v>297</v>
      </c>
      <c r="AZ102" t="s">
        <v>298</v>
      </c>
      <c r="BA102" t="s">
        <v>323</v>
      </c>
      <c r="BF102" t="s">
        <v>294</v>
      </c>
      <c r="BG102" t="s">
        <v>300</v>
      </c>
      <c r="BI102" t="s">
        <v>298</v>
      </c>
      <c r="BR102" t="s">
        <v>289</v>
      </c>
      <c r="BS102" t="s">
        <v>433</v>
      </c>
      <c r="BT102" t="s">
        <v>434</v>
      </c>
      <c r="BU102" t="s">
        <v>303</v>
      </c>
      <c r="BV102" t="s">
        <v>304</v>
      </c>
      <c r="BX102" t="s">
        <v>305</v>
      </c>
      <c r="BY102" t="s">
        <v>298</v>
      </c>
      <c r="BZ102" t="s">
        <v>403</v>
      </c>
      <c r="CA102" t="s">
        <v>691</v>
      </c>
      <c r="CC102" t="s">
        <v>308</v>
      </c>
      <c r="CD102" t="s">
        <v>309</v>
      </c>
      <c r="CE102" t="s">
        <v>294</v>
      </c>
      <c r="CH102" t="s">
        <v>304</v>
      </c>
      <c r="CI102" t="s">
        <v>304</v>
      </c>
      <c r="CK102" t="s">
        <v>455</v>
      </c>
      <c r="CL102" t="s">
        <v>328</v>
      </c>
      <c r="CM102" t="s">
        <v>581</v>
      </c>
      <c r="CN102" t="s">
        <v>328</v>
      </c>
      <c r="CO102" t="s">
        <v>312</v>
      </c>
      <c r="CT102" t="s">
        <v>294</v>
      </c>
      <c r="CU102" t="s">
        <v>405</v>
      </c>
      <c r="CW102" t="s">
        <v>406</v>
      </c>
      <c r="CX102" t="s">
        <v>316</v>
      </c>
      <c r="CZ102" t="s">
        <v>289</v>
      </c>
      <c r="DA102" t="s">
        <v>289</v>
      </c>
      <c r="DB102" t="s">
        <v>289</v>
      </c>
      <c r="DC102" t="s">
        <v>289</v>
      </c>
      <c r="DI102" t="s">
        <v>289</v>
      </c>
      <c r="DL102" t="s">
        <v>289</v>
      </c>
      <c r="DM102" t="s">
        <v>317</v>
      </c>
      <c r="DS102" t="s">
        <v>289</v>
      </c>
      <c r="DT102" t="s">
        <v>289</v>
      </c>
      <c r="DU102" t="s">
        <v>318</v>
      </c>
      <c r="DV102" t="s">
        <v>289</v>
      </c>
      <c r="DX102" t="s">
        <v>319</v>
      </c>
      <c r="EA102" t="s">
        <v>289</v>
      </c>
    </row>
    <row r="103" spans="1:231" x14ac:dyDescent="0.25">
      <c r="A103">
        <v>15643245</v>
      </c>
      <c r="B103">
        <v>777085</v>
      </c>
      <c r="C103" t="str">
        <f>"141009502376"</f>
        <v>141009502376</v>
      </c>
      <c r="D103" t="s">
        <v>477</v>
      </c>
      <c r="E103" t="s">
        <v>692</v>
      </c>
      <c r="F103" t="s">
        <v>693</v>
      </c>
      <c r="G103" s="1">
        <v>41921</v>
      </c>
      <c r="I103" t="s">
        <v>353</v>
      </c>
      <c r="J103" t="s">
        <v>287</v>
      </c>
      <c r="K103" t="s">
        <v>288</v>
      </c>
      <c r="Q103" t="s">
        <v>289</v>
      </c>
      <c r="R103" t="str">
        <f>"КАЗАХСТАН, АКМОЛИНСКАЯ, ЗЕРЕНДИНСКИЙ РАЙОН, Зерендинский, Зеренда, 26"</f>
        <v>КАЗАХСТАН, АКМОЛИНСКАЯ, ЗЕРЕНДИНСКИЙ РАЙОН, Зерендинский, Зеренда, 26</v>
      </c>
      <c r="S103" t="str">
        <f>"ҚАЗАҚСТАН, АҚМОЛА, ЗЕРЕНДІ АУДАНЫ, Зерендинский, Зеренда, 26"</f>
        <v>ҚАЗАҚСТАН, АҚМОЛА, ЗЕРЕНДІ АУДАНЫ, Зерендинский, Зеренда, 26</v>
      </c>
      <c r="T103" t="str">
        <f>"Зерендинский, Зеренда, 26"</f>
        <v>Зерендинский, Зеренда, 26</v>
      </c>
      <c r="U103" t="str">
        <f>"Зерендинский, Зеренда, 26"</f>
        <v>Зерендинский, Зеренда, 26</v>
      </c>
      <c r="AC103" t="str">
        <f>"2020-07-20T00:00:00"</f>
        <v>2020-07-20T00:00:00</v>
      </c>
      <c r="AD103" t="str">
        <f>"35"</f>
        <v>35</v>
      </c>
      <c r="AE103" t="str">
        <f>"2024-09-01T21:13:19"</f>
        <v>2024-09-01T21:13:19</v>
      </c>
      <c r="AF103" t="str">
        <f>"2025-05-25T21:13:19"</f>
        <v>2025-05-25T21:13:19</v>
      </c>
      <c r="AG103" t="s">
        <v>290</v>
      </c>
      <c r="AI103" t="s">
        <v>373</v>
      </c>
      <c r="AK103" t="s">
        <v>634</v>
      </c>
      <c r="AP103" t="s">
        <v>293</v>
      </c>
      <c r="AT103" t="s">
        <v>294</v>
      </c>
      <c r="AU103" t="s">
        <v>295</v>
      </c>
      <c r="AW103" t="s">
        <v>296</v>
      </c>
      <c r="AX103">
        <v>2</v>
      </c>
      <c r="AY103" t="s">
        <v>297</v>
      </c>
      <c r="AZ103" t="s">
        <v>298</v>
      </c>
      <c r="BA103" t="s">
        <v>323</v>
      </c>
      <c r="BF103" t="s">
        <v>294</v>
      </c>
      <c r="BG103" t="s">
        <v>300</v>
      </c>
      <c r="BI103" t="s">
        <v>298</v>
      </c>
      <c r="BR103" t="s">
        <v>289</v>
      </c>
      <c r="BS103" t="s">
        <v>301</v>
      </c>
      <c r="BT103" t="s">
        <v>302</v>
      </c>
      <c r="BU103" t="s">
        <v>303</v>
      </c>
      <c r="BV103" t="s">
        <v>304</v>
      </c>
      <c r="BX103" t="s">
        <v>324</v>
      </c>
      <c r="BY103" t="s">
        <v>298</v>
      </c>
      <c r="BZ103" t="s">
        <v>306</v>
      </c>
      <c r="CA103" t="s">
        <v>325</v>
      </c>
      <c r="CC103" t="s">
        <v>308</v>
      </c>
      <c r="CD103" t="s">
        <v>309</v>
      </c>
      <c r="CE103" t="s">
        <v>294</v>
      </c>
      <c r="CH103" t="s">
        <v>304</v>
      </c>
      <c r="CI103" t="s">
        <v>304</v>
      </c>
      <c r="CK103" t="s">
        <v>471</v>
      </c>
      <c r="CL103" t="s">
        <v>328</v>
      </c>
      <c r="CM103" t="s">
        <v>298</v>
      </c>
      <c r="CO103" t="s">
        <v>312</v>
      </c>
      <c r="CT103" t="s">
        <v>294</v>
      </c>
      <c r="CU103" t="s">
        <v>313</v>
      </c>
      <c r="CV103" t="s">
        <v>314</v>
      </c>
      <c r="CW103" t="s">
        <v>315</v>
      </c>
      <c r="CX103" t="s">
        <v>316</v>
      </c>
      <c r="CZ103" t="s">
        <v>289</v>
      </c>
      <c r="DA103" t="s">
        <v>289</v>
      </c>
      <c r="DB103" t="s">
        <v>289</v>
      </c>
      <c r="DC103" t="s">
        <v>289</v>
      </c>
      <c r="DI103" t="s">
        <v>289</v>
      </c>
      <c r="DL103" t="s">
        <v>289</v>
      </c>
      <c r="DM103" t="s">
        <v>317</v>
      </c>
      <c r="DS103" t="s">
        <v>289</v>
      </c>
      <c r="DT103" t="s">
        <v>289</v>
      </c>
      <c r="DU103" t="s">
        <v>318</v>
      </c>
      <c r="DV103" t="s">
        <v>289</v>
      </c>
      <c r="DX103" t="s">
        <v>319</v>
      </c>
      <c r="EA103" t="s">
        <v>289</v>
      </c>
    </row>
    <row r="104" spans="1:231" x14ac:dyDescent="0.25">
      <c r="A104">
        <v>15643395</v>
      </c>
      <c r="B104">
        <v>548124</v>
      </c>
      <c r="C104" t="str">
        <f>"141011502585"</f>
        <v>141011502585</v>
      </c>
      <c r="D104" t="s">
        <v>694</v>
      </c>
      <c r="E104" t="s">
        <v>695</v>
      </c>
      <c r="F104" t="s">
        <v>696</v>
      </c>
      <c r="G104" s="1">
        <v>41923</v>
      </c>
      <c r="I104" t="s">
        <v>353</v>
      </c>
      <c r="J104" t="s">
        <v>287</v>
      </c>
      <c r="K104" t="s">
        <v>288</v>
      </c>
      <c r="Q104" t="s">
        <v>289</v>
      </c>
      <c r="R104" t="str">
        <f>"КАЗАХСТАН, АКМОЛИНСКАЯ, ЗЕРЕНДИНСКИЙ РАЙОН, Зерендинский, Зеренда, 76, 15"</f>
        <v>КАЗАХСТАН, АКМОЛИНСКАЯ, ЗЕРЕНДИНСКИЙ РАЙОН, Зерендинский, Зеренда, 76, 15</v>
      </c>
      <c r="S104" t="str">
        <f>"ҚАЗАҚСТАН, АҚМОЛА, ЗЕРЕНДІ АУДАНЫ, Зерендинский, Зеренда, 76, 15"</f>
        <v>ҚАЗАҚСТАН, АҚМОЛА, ЗЕРЕНДІ АУДАНЫ, Зерендинский, Зеренда, 76, 15</v>
      </c>
      <c r="T104" t="str">
        <f>"Зерендинский, Зеренда, 76, 15"</f>
        <v>Зерендинский, Зеренда, 76, 15</v>
      </c>
      <c r="U104" t="str">
        <f>"Зерендинский, Зеренда, 76, 15"</f>
        <v>Зерендинский, Зеренда, 76, 15</v>
      </c>
      <c r="AC104" t="str">
        <f>"2020-07-23T00:00:00"</f>
        <v>2020-07-23T00:00:00</v>
      </c>
      <c r="AD104" t="str">
        <f>"39"</f>
        <v>39</v>
      </c>
      <c r="AE104" t="str">
        <f>"2024-09-01T21:13:55"</f>
        <v>2024-09-01T21:13:55</v>
      </c>
      <c r="AF104" t="str">
        <f>"2025-05-25T21:13:55"</f>
        <v>2025-05-25T21:13:55</v>
      </c>
      <c r="AG104" t="s">
        <v>290</v>
      </c>
      <c r="AI104" t="s">
        <v>291</v>
      </c>
      <c r="AK104" t="s">
        <v>634</v>
      </c>
      <c r="AP104" t="s">
        <v>293</v>
      </c>
      <c r="AT104" t="s">
        <v>294</v>
      </c>
      <c r="AU104" t="s">
        <v>295</v>
      </c>
      <c r="AW104" t="s">
        <v>296</v>
      </c>
      <c r="AX104">
        <v>2</v>
      </c>
      <c r="AY104" t="s">
        <v>297</v>
      </c>
      <c r="AZ104" t="s">
        <v>298</v>
      </c>
      <c r="BA104" t="s">
        <v>323</v>
      </c>
      <c r="BF104" t="s">
        <v>294</v>
      </c>
      <c r="BG104" t="s">
        <v>300</v>
      </c>
      <c r="BI104" t="s">
        <v>298</v>
      </c>
      <c r="BR104" t="s">
        <v>289</v>
      </c>
      <c r="BS104" t="s">
        <v>301</v>
      </c>
      <c r="BT104" t="s">
        <v>302</v>
      </c>
      <c r="BU104" t="s">
        <v>303</v>
      </c>
      <c r="BV104" t="s">
        <v>304</v>
      </c>
      <c r="BX104" t="s">
        <v>305</v>
      </c>
      <c r="BY104" t="s">
        <v>298</v>
      </c>
      <c r="BZ104" t="s">
        <v>306</v>
      </c>
      <c r="CA104" t="s">
        <v>307</v>
      </c>
      <c r="CC104" t="s">
        <v>308</v>
      </c>
      <c r="CD104" t="s">
        <v>309</v>
      </c>
      <c r="CE104" t="s">
        <v>294</v>
      </c>
      <c r="CH104" t="s">
        <v>304</v>
      </c>
      <c r="CI104" t="s">
        <v>304</v>
      </c>
      <c r="CK104" t="s">
        <v>697</v>
      </c>
      <c r="CL104" t="s">
        <v>311</v>
      </c>
      <c r="CM104" t="s">
        <v>698</v>
      </c>
      <c r="CN104" t="s">
        <v>328</v>
      </c>
      <c r="CO104" t="s">
        <v>312</v>
      </c>
      <c r="CT104" t="s">
        <v>294</v>
      </c>
      <c r="CU104" t="s">
        <v>313</v>
      </c>
      <c r="CV104" t="s">
        <v>314</v>
      </c>
      <c r="CW104" t="s">
        <v>315</v>
      </c>
      <c r="CX104" t="s">
        <v>316</v>
      </c>
      <c r="CZ104" t="s">
        <v>289</v>
      </c>
      <c r="DA104" t="s">
        <v>289</v>
      </c>
      <c r="DB104" t="s">
        <v>289</v>
      </c>
      <c r="DC104" t="s">
        <v>289</v>
      </c>
      <c r="DI104" t="s">
        <v>289</v>
      </c>
      <c r="DL104" t="s">
        <v>289</v>
      </c>
      <c r="DM104" t="s">
        <v>376</v>
      </c>
      <c r="DN104" t="s">
        <v>304</v>
      </c>
      <c r="DS104" t="s">
        <v>289</v>
      </c>
      <c r="DT104" t="s">
        <v>289</v>
      </c>
      <c r="DU104" t="s">
        <v>318</v>
      </c>
      <c r="DV104" t="s">
        <v>289</v>
      </c>
      <c r="DX104" t="s">
        <v>319</v>
      </c>
      <c r="EA104" t="s">
        <v>289</v>
      </c>
    </row>
    <row r="105" spans="1:231" x14ac:dyDescent="0.25">
      <c r="A105">
        <v>15742524</v>
      </c>
      <c r="B105">
        <v>544479</v>
      </c>
      <c r="C105" t="str">
        <f>"140413602693"</f>
        <v>140413602693</v>
      </c>
      <c r="D105" t="s">
        <v>587</v>
      </c>
      <c r="E105" t="s">
        <v>378</v>
      </c>
      <c r="F105" t="s">
        <v>699</v>
      </c>
      <c r="G105" s="1">
        <v>41742</v>
      </c>
      <c r="I105" t="s">
        <v>286</v>
      </c>
      <c r="J105" t="s">
        <v>287</v>
      </c>
      <c r="K105" t="s">
        <v>288</v>
      </c>
      <c r="Q105" t="s">
        <v>289</v>
      </c>
      <c r="R105" t="str">
        <f>"КАЗАХСТАН, АКМОЛИНСКАЯ, ЗЕРЕНДИНСКИЙ РАЙОН, Зерендинский, Зеренда, 16, 3"</f>
        <v>КАЗАХСТАН, АКМОЛИНСКАЯ, ЗЕРЕНДИНСКИЙ РАЙОН, Зерендинский, Зеренда, 16, 3</v>
      </c>
      <c r="S105" t="str">
        <f>"ҚАЗАҚСТАН, АҚМОЛА, ЗЕРЕНДІ АУДАНЫ, Зерендинский, Зеренда, 16, 3"</f>
        <v>ҚАЗАҚСТАН, АҚМОЛА, ЗЕРЕНДІ АУДАНЫ, Зерендинский, Зеренда, 16, 3</v>
      </c>
      <c r="T105" t="str">
        <f>"Зерендинский, Зеренда, 16, 3"</f>
        <v>Зерендинский, Зеренда, 16, 3</v>
      </c>
      <c r="U105" t="str">
        <f>"Зерендинский, Зеренда, 16, 3"</f>
        <v>Зерендинский, Зеренда, 16, 3</v>
      </c>
      <c r="AC105" t="str">
        <f>"2020-08-20T00:00:00"</f>
        <v>2020-08-20T00:00:00</v>
      </c>
      <c r="AD105" t="str">
        <f>"57"</f>
        <v>57</v>
      </c>
      <c r="AE105" t="str">
        <f>"2024-09-01T21:19:18"</f>
        <v>2024-09-01T21:19:18</v>
      </c>
      <c r="AF105" t="str">
        <f>"2025-05-25T21:19:18"</f>
        <v>2025-05-25T21:19:18</v>
      </c>
      <c r="AG105" t="s">
        <v>290</v>
      </c>
      <c r="AI105" t="s">
        <v>291</v>
      </c>
      <c r="AK105" t="s">
        <v>634</v>
      </c>
      <c r="AP105" t="s">
        <v>342</v>
      </c>
      <c r="AT105" t="s">
        <v>294</v>
      </c>
      <c r="AU105" t="s">
        <v>295</v>
      </c>
      <c r="AW105" t="s">
        <v>296</v>
      </c>
      <c r="AX105">
        <v>2</v>
      </c>
      <c r="AY105" t="s">
        <v>297</v>
      </c>
      <c r="AZ105" t="s">
        <v>298</v>
      </c>
      <c r="BA105" t="s">
        <v>323</v>
      </c>
      <c r="BF105" t="s">
        <v>294</v>
      </c>
      <c r="BG105" t="s">
        <v>300</v>
      </c>
      <c r="BI105" t="s">
        <v>298</v>
      </c>
      <c r="BR105" t="s">
        <v>289</v>
      </c>
      <c r="BS105" t="s">
        <v>301</v>
      </c>
      <c r="BT105" t="s">
        <v>302</v>
      </c>
      <c r="BU105" t="s">
        <v>303</v>
      </c>
      <c r="BV105" t="s">
        <v>304</v>
      </c>
      <c r="BX105" t="s">
        <v>392</v>
      </c>
      <c r="BY105" t="s">
        <v>298</v>
      </c>
      <c r="BZ105" t="s">
        <v>306</v>
      </c>
      <c r="CA105" t="s">
        <v>393</v>
      </c>
      <c r="CC105" t="s">
        <v>308</v>
      </c>
      <c r="CD105" t="s">
        <v>309</v>
      </c>
      <c r="CE105" t="s">
        <v>294</v>
      </c>
      <c r="CH105" t="s">
        <v>304</v>
      </c>
      <c r="CI105" t="s">
        <v>304</v>
      </c>
      <c r="CK105" t="s">
        <v>641</v>
      </c>
      <c r="CL105" t="s">
        <v>311</v>
      </c>
      <c r="CM105" t="s">
        <v>698</v>
      </c>
      <c r="CN105" t="s">
        <v>328</v>
      </c>
      <c r="CO105" t="s">
        <v>312</v>
      </c>
      <c r="CT105" t="s">
        <v>294</v>
      </c>
      <c r="CU105" t="s">
        <v>313</v>
      </c>
      <c r="CV105" t="s">
        <v>314</v>
      </c>
      <c r="CW105" t="s">
        <v>315</v>
      </c>
      <c r="CX105" t="s">
        <v>316</v>
      </c>
      <c r="CZ105" t="s">
        <v>289</v>
      </c>
      <c r="DA105" t="s">
        <v>289</v>
      </c>
      <c r="DB105" t="s">
        <v>289</v>
      </c>
      <c r="DC105" t="s">
        <v>289</v>
      </c>
      <c r="DI105" t="s">
        <v>289</v>
      </c>
      <c r="DL105" t="s">
        <v>289</v>
      </c>
      <c r="DM105" t="s">
        <v>317</v>
      </c>
      <c r="DS105" t="s">
        <v>289</v>
      </c>
      <c r="DT105" t="s">
        <v>289</v>
      </c>
      <c r="DU105" t="s">
        <v>318</v>
      </c>
      <c r="DV105" t="s">
        <v>289</v>
      </c>
      <c r="DX105" t="s">
        <v>319</v>
      </c>
      <c r="EA105" t="s">
        <v>294</v>
      </c>
    </row>
    <row r="106" spans="1:231" x14ac:dyDescent="0.25">
      <c r="A106">
        <v>15744185</v>
      </c>
      <c r="B106">
        <v>547845</v>
      </c>
      <c r="C106" t="str">
        <f>"141221600241"</f>
        <v>141221600241</v>
      </c>
      <c r="D106" t="s">
        <v>700</v>
      </c>
      <c r="E106" t="s">
        <v>701</v>
      </c>
      <c r="F106" t="s">
        <v>702</v>
      </c>
      <c r="G106" s="1">
        <v>41994</v>
      </c>
      <c r="I106" t="s">
        <v>286</v>
      </c>
      <c r="J106" t="s">
        <v>287</v>
      </c>
      <c r="K106" t="s">
        <v>288</v>
      </c>
      <c r="Q106" t="s">
        <v>289</v>
      </c>
      <c r="R106" t="str">
        <f>"КАЗАХСТАН, АКМОЛИНСКАЯ, ЗЕРЕНДИНСКИЙ РАЙОН, Зерендинский, Зеренда, 21"</f>
        <v>КАЗАХСТАН, АКМОЛИНСКАЯ, ЗЕРЕНДИНСКИЙ РАЙОН, Зерендинский, Зеренда, 21</v>
      </c>
      <c r="S106" t="str">
        <f>"ҚАЗАҚСТАН, АҚМОЛА, ЗЕРЕНДІ АУДАНЫ, Зерендинский, Зеренда, 21"</f>
        <v>ҚАЗАҚСТАН, АҚМОЛА, ЗЕРЕНДІ АУДАНЫ, Зерендинский, Зеренда, 21</v>
      </c>
      <c r="T106" t="str">
        <f>"Зерендинский, Зеренда, 21"</f>
        <v>Зерендинский, Зеренда, 21</v>
      </c>
      <c r="U106" t="str">
        <f>"Зерендинский, Зеренда, 21"</f>
        <v>Зерендинский, Зеренда, 21</v>
      </c>
      <c r="AC106" t="str">
        <f>"2020-08-10T00:00:00"</f>
        <v>2020-08-10T00:00:00</v>
      </c>
      <c r="AD106" t="str">
        <f>"51"</f>
        <v>51</v>
      </c>
      <c r="AE106" t="str">
        <f>"2024-09-01T11:57:31"</f>
        <v>2024-09-01T11:57:31</v>
      </c>
      <c r="AF106" t="str">
        <f>"2025-05-25T11:57:31"</f>
        <v>2025-05-25T11:57:31</v>
      </c>
      <c r="AG106" t="s">
        <v>290</v>
      </c>
      <c r="AI106" t="s">
        <v>291</v>
      </c>
      <c r="AK106" t="s">
        <v>703</v>
      </c>
      <c r="AP106" t="s">
        <v>293</v>
      </c>
      <c r="AQ106" t="s">
        <v>289</v>
      </c>
      <c r="AT106" t="s">
        <v>294</v>
      </c>
      <c r="AU106" t="s">
        <v>295</v>
      </c>
      <c r="AW106" t="s">
        <v>296</v>
      </c>
      <c r="AX106">
        <v>2</v>
      </c>
      <c r="AY106" t="s">
        <v>297</v>
      </c>
      <c r="AZ106" t="s">
        <v>298</v>
      </c>
      <c r="BA106" t="s">
        <v>323</v>
      </c>
      <c r="BF106" t="s">
        <v>294</v>
      </c>
      <c r="BG106" t="s">
        <v>300</v>
      </c>
      <c r="BI106" t="s">
        <v>298</v>
      </c>
      <c r="BR106" t="s">
        <v>289</v>
      </c>
      <c r="BS106" t="s">
        <v>301</v>
      </c>
      <c r="BT106" t="s">
        <v>302</v>
      </c>
      <c r="BU106" t="s">
        <v>303</v>
      </c>
      <c r="BV106" t="s">
        <v>365</v>
      </c>
      <c r="BX106" t="s">
        <v>392</v>
      </c>
      <c r="BY106" t="s">
        <v>298</v>
      </c>
      <c r="BZ106" t="s">
        <v>306</v>
      </c>
      <c r="CA106" t="s">
        <v>393</v>
      </c>
      <c r="CC106" t="s">
        <v>308</v>
      </c>
      <c r="CD106" t="s">
        <v>309</v>
      </c>
      <c r="CE106" t="s">
        <v>294</v>
      </c>
      <c r="CH106" t="s">
        <v>304</v>
      </c>
      <c r="CI106" t="s">
        <v>304</v>
      </c>
      <c r="CJ106" t="s">
        <v>704</v>
      </c>
      <c r="CK106" t="s">
        <v>705</v>
      </c>
      <c r="CL106" t="s">
        <v>311</v>
      </c>
      <c r="CM106" t="s">
        <v>706</v>
      </c>
      <c r="CN106" t="s">
        <v>328</v>
      </c>
      <c r="CO106" t="s">
        <v>312</v>
      </c>
      <c r="CT106" t="s">
        <v>294</v>
      </c>
      <c r="CU106" t="s">
        <v>313</v>
      </c>
      <c r="CV106" t="s">
        <v>314</v>
      </c>
      <c r="CW106" t="s">
        <v>315</v>
      </c>
      <c r="CX106" t="s">
        <v>316</v>
      </c>
      <c r="CZ106" t="s">
        <v>289</v>
      </c>
      <c r="DA106" t="s">
        <v>289</v>
      </c>
      <c r="DB106" t="s">
        <v>289</v>
      </c>
      <c r="DC106" t="s">
        <v>289</v>
      </c>
      <c r="DI106" t="s">
        <v>289</v>
      </c>
      <c r="DL106" t="s">
        <v>289</v>
      </c>
      <c r="DM106" t="s">
        <v>317</v>
      </c>
      <c r="DS106" t="s">
        <v>289</v>
      </c>
      <c r="DT106" t="s">
        <v>289</v>
      </c>
      <c r="DU106" t="s">
        <v>318</v>
      </c>
      <c r="DV106" t="s">
        <v>289</v>
      </c>
      <c r="DX106" t="s">
        <v>319</v>
      </c>
      <c r="EA106" t="s">
        <v>294</v>
      </c>
      <c r="HW106" t="s">
        <v>294</v>
      </c>
    </row>
    <row r="107" spans="1:231" x14ac:dyDescent="0.25">
      <c r="A107">
        <v>15749028</v>
      </c>
      <c r="B107">
        <v>548291</v>
      </c>
      <c r="C107" t="str">
        <f>"141010603316"</f>
        <v>141010603316</v>
      </c>
      <c r="D107" t="s">
        <v>707</v>
      </c>
      <c r="E107" t="s">
        <v>708</v>
      </c>
      <c r="F107" t="s">
        <v>709</v>
      </c>
      <c r="G107" s="1">
        <v>41922</v>
      </c>
      <c r="I107" t="s">
        <v>286</v>
      </c>
      <c r="J107" t="s">
        <v>287</v>
      </c>
      <c r="K107" t="s">
        <v>288</v>
      </c>
      <c r="Q107" t="s">
        <v>289</v>
      </c>
      <c r="R107" t="str">
        <f>"КАЗАХСТАН, АКМОЛИНСКАЯ, ЗЕРЕНДИНСКИЙ РАЙОН, Зерендинский, Зеренда, 9, 1"</f>
        <v>КАЗАХСТАН, АКМОЛИНСКАЯ, ЗЕРЕНДИНСКИЙ РАЙОН, Зерендинский, Зеренда, 9, 1</v>
      </c>
      <c r="S107" t="str">
        <f>"ҚАЗАҚСТАН, АҚМОЛА, ЗЕРЕНДІ АУДАНЫ, Зерендинский, Зеренда, 9, 1"</f>
        <v>ҚАЗАҚСТАН, АҚМОЛА, ЗЕРЕНДІ АУДАНЫ, Зерендинский, Зеренда, 9, 1</v>
      </c>
      <c r="T107" t="str">
        <f>"Зерендинский, Зеренда, 9, 1"</f>
        <v>Зерендинский, Зеренда, 9, 1</v>
      </c>
      <c r="U107" t="str">
        <f>"Зерендинский, Зеренда, 9, 1"</f>
        <v>Зерендинский, Зеренда, 9, 1</v>
      </c>
      <c r="AC107" t="str">
        <f>"2020-08-23T00:00:00"</f>
        <v>2020-08-23T00:00:00</v>
      </c>
      <c r="AD107" t="str">
        <f>"58"</f>
        <v>58</v>
      </c>
      <c r="AE107" t="str">
        <f>"2024-09-01T11:20:35"</f>
        <v>2024-09-01T11:20:35</v>
      </c>
      <c r="AF107" t="str">
        <f>"2025-05-25T11:20:35"</f>
        <v>2025-05-25T11:20:35</v>
      </c>
      <c r="AG107" t="s">
        <v>290</v>
      </c>
      <c r="AI107" t="s">
        <v>291</v>
      </c>
      <c r="AK107" t="s">
        <v>703</v>
      </c>
      <c r="AP107" t="s">
        <v>293</v>
      </c>
      <c r="AT107" t="s">
        <v>294</v>
      </c>
      <c r="AU107" t="s">
        <v>295</v>
      </c>
      <c r="AW107" t="s">
        <v>296</v>
      </c>
      <c r="AX107">
        <v>2</v>
      </c>
      <c r="AY107" t="s">
        <v>297</v>
      </c>
      <c r="AZ107" t="s">
        <v>298</v>
      </c>
      <c r="BA107" t="s">
        <v>323</v>
      </c>
      <c r="BF107" t="s">
        <v>294</v>
      </c>
      <c r="BG107" t="s">
        <v>300</v>
      </c>
      <c r="BI107" t="s">
        <v>298</v>
      </c>
      <c r="BR107" t="s">
        <v>289</v>
      </c>
      <c r="BS107" t="s">
        <v>301</v>
      </c>
      <c r="BT107" t="s">
        <v>302</v>
      </c>
      <c r="BU107" t="s">
        <v>303</v>
      </c>
      <c r="BV107" t="s">
        <v>365</v>
      </c>
      <c r="BX107" t="s">
        <v>392</v>
      </c>
      <c r="BY107" t="s">
        <v>298</v>
      </c>
      <c r="BZ107" t="s">
        <v>306</v>
      </c>
      <c r="CA107" t="s">
        <v>393</v>
      </c>
      <c r="CC107" t="s">
        <v>308</v>
      </c>
      <c r="CD107" t="s">
        <v>309</v>
      </c>
      <c r="CE107" t="s">
        <v>294</v>
      </c>
      <c r="CH107" t="s">
        <v>304</v>
      </c>
      <c r="CI107" t="s">
        <v>304</v>
      </c>
      <c r="CJ107" s="2">
        <v>45566</v>
      </c>
      <c r="CK107" t="s">
        <v>467</v>
      </c>
      <c r="CL107" t="s">
        <v>328</v>
      </c>
      <c r="CM107" t="s">
        <v>710</v>
      </c>
      <c r="CN107" t="s">
        <v>311</v>
      </c>
      <c r="CO107" t="s">
        <v>312</v>
      </c>
      <c r="CT107" t="s">
        <v>294</v>
      </c>
      <c r="CU107" t="s">
        <v>313</v>
      </c>
      <c r="CV107" t="s">
        <v>314</v>
      </c>
      <c r="CW107" t="s">
        <v>315</v>
      </c>
      <c r="CX107" t="s">
        <v>316</v>
      </c>
      <c r="CZ107" t="s">
        <v>289</v>
      </c>
      <c r="DA107" t="s">
        <v>289</v>
      </c>
      <c r="DB107" t="s">
        <v>289</v>
      </c>
      <c r="DC107" t="s">
        <v>289</v>
      </c>
      <c r="DI107" t="s">
        <v>289</v>
      </c>
      <c r="DL107" t="s">
        <v>289</v>
      </c>
      <c r="DM107" t="s">
        <v>317</v>
      </c>
      <c r="DS107" t="s">
        <v>289</v>
      </c>
      <c r="DT107" t="s">
        <v>289</v>
      </c>
      <c r="DU107" t="s">
        <v>318</v>
      </c>
      <c r="DV107" t="s">
        <v>289</v>
      </c>
      <c r="DX107" t="s">
        <v>319</v>
      </c>
      <c r="EA107" t="s">
        <v>289</v>
      </c>
      <c r="HW107" t="s">
        <v>294</v>
      </c>
    </row>
    <row r="108" spans="1:231" x14ac:dyDescent="0.25">
      <c r="A108">
        <v>15750168</v>
      </c>
      <c r="B108">
        <v>547366</v>
      </c>
      <c r="C108" t="str">
        <f>"140824602013"</f>
        <v>140824602013</v>
      </c>
      <c r="D108" t="s">
        <v>590</v>
      </c>
      <c r="E108" t="s">
        <v>711</v>
      </c>
      <c r="F108" t="s">
        <v>712</v>
      </c>
      <c r="G108" s="1">
        <v>41875</v>
      </c>
      <c r="I108" t="s">
        <v>286</v>
      </c>
      <c r="J108" t="s">
        <v>287</v>
      </c>
      <c r="K108" t="s">
        <v>288</v>
      </c>
      <c r="Q108" t="s">
        <v>289</v>
      </c>
      <c r="R108" t="str">
        <f>"КАЗАХСТАН, АКМОЛИНСКАЯ, ЗЕРЕНДИНСКИЙ РАЙОН, Зерендинский, Зеренда, 59, 7"</f>
        <v>КАЗАХСТАН, АКМОЛИНСКАЯ, ЗЕРЕНДИНСКИЙ РАЙОН, Зерендинский, Зеренда, 59, 7</v>
      </c>
      <c r="S108" t="str">
        <f>"ҚАЗАҚСТАН, АҚМОЛА, ЗЕРЕНДІ АУДАНЫ, Зерендинский, Зеренда, 59, 7"</f>
        <v>ҚАЗАҚСТАН, АҚМОЛА, ЗЕРЕНДІ АУДАНЫ, Зерендинский, Зеренда, 59, 7</v>
      </c>
      <c r="T108" t="str">
        <f>"Зерендинский, Зеренда, 59, 7"</f>
        <v>Зерендинский, Зеренда, 59, 7</v>
      </c>
      <c r="U108" t="str">
        <f>"Зерендинский, Зеренда, 59, 7"</f>
        <v>Зерендинский, Зеренда, 59, 7</v>
      </c>
      <c r="AC108" t="str">
        <f>"2020-08-20T00:00:00"</f>
        <v>2020-08-20T00:00:00</v>
      </c>
      <c r="AD108" t="str">
        <f>"56"</f>
        <v>56</v>
      </c>
      <c r="AE108" t="str">
        <f>"2024-09-01T11:21:19"</f>
        <v>2024-09-01T11:21:19</v>
      </c>
      <c r="AF108" t="str">
        <f>"2025-05-25T11:21:19"</f>
        <v>2025-05-25T11:21:19</v>
      </c>
      <c r="AG108" t="s">
        <v>290</v>
      </c>
      <c r="AI108" t="s">
        <v>291</v>
      </c>
      <c r="AK108" t="s">
        <v>703</v>
      </c>
      <c r="AP108" t="s">
        <v>293</v>
      </c>
      <c r="AT108" t="s">
        <v>294</v>
      </c>
      <c r="AU108" t="s">
        <v>295</v>
      </c>
      <c r="AW108" t="s">
        <v>296</v>
      </c>
      <c r="AX108">
        <v>2</v>
      </c>
      <c r="AY108" t="s">
        <v>297</v>
      </c>
      <c r="AZ108" t="s">
        <v>298</v>
      </c>
      <c r="BA108" t="s">
        <v>323</v>
      </c>
      <c r="BF108" t="s">
        <v>294</v>
      </c>
      <c r="BG108" t="s">
        <v>300</v>
      </c>
      <c r="BI108" t="s">
        <v>298</v>
      </c>
      <c r="BR108" t="s">
        <v>289</v>
      </c>
      <c r="BS108" t="s">
        <v>301</v>
      </c>
      <c r="BT108" t="s">
        <v>302</v>
      </c>
      <c r="BU108" t="s">
        <v>303</v>
      </c>
      <c r="BV108" t="s">
        <v>365</v>
      </c>
      <c r="BX108" t="s">
        <v>392</v>
      </c>
      <c r="BY108" t="s">
        <v>298</v>
      </c>
      <c r="BZ108" t="s">
        <v>306</v>
      </c>
      <c r="CA108" t="s">
        <v>393</v>
      </c>
      <c r="CC108" t="s">
        <v>308</v>
      </c>
      <c r="CD108" t="s">
        <v>309</v>
      </c>
      <c r="CE108" t="s">
        <v>294</v>
      </c>
      <c r="CH108" t="s">
        <v>304</v>
      </c>
      <c r="CI108" t="s">
        <v>304</v>
      </c>
      <c r="CJ108" s="2">
        <v>45566</v>
      </c>
      <c r="CK108" t="s">
        <v>335</v>
      </c>
      <c r="CM108" t="s">
        <v>713</v>
      </c>
      <c r="CN108" t="s">
        <v>714</v>
      </c>
      <c r="CO108" t="s">
        <v>312</v>
      </c>
      <c r="CT108" t="s">
        <v>294</v>
      </c>
      <c r="CU108" t="s">
        <v>313</v>
      </c>
      <c r="CV108" t="s">
        <v>314</v>
      </c>
      <c r="CW108" t="s">
        <v>315</v>
      </c>
      <c r="CX108" t="s">
        <v>316</v>
      </c>
      <c r="CZ108" t="s">
        <v>289</v>
      </c>
      <c r="DA108" t="s">
        <v>289</v>
      </c>
      <c r="DB108" t="s">
        <v>289</v>
      </c>
      <c r="DC108" t="s">
        <v>289</v>
      </c>
      <c r="DI108" t="s">
        <v>289</v>
      </c>
      <c r="DL108" t="s">
        <v>289</v>
      </c>
      <c r="DM108" t="s">
        <v>317</v>
      </c>
      <c r="DS108" t="s">
        <v>289</v>
      </c>
      <c r="DT108" t="s">
        <v>289</v>
      </c>
      <c r="DU108" t="s">
        <v>318</v>
      </c>
      <c r="DV108" t="s">
        <v>289</v>
      </c>
      <c r="DX108" t="s">
        <v>368</v>
      </c>
      <c r="DY108" t="s">
        <v>472</v>
      </c>
      <c r="DZ108" t="s">
        <v>473</v>
      </c>
      <c r="EA108" t="s">
        <v>294</v>
      </c>
    </row>
    <row r="109" spans="1:231" x14ac:dyDescent="0.25">
      <c r="A109">
        <v>15751955</v>
      </c>
      <c r="B109">
        <v>969289</v>
      </c>
      <c r="C109" t="str">
        <f>"141128601381"</f>
        <v>141128601381</v>
      </c>
      <c r="D109" t="s">
        <v>523</v>
      </c>
      <c r="E109" t="s">
        <v>715</v>
      </c>
      <c r="F109" t="s">
        <v>617</v>
      </c>
      <c r="G109" s="1">
        <v>41971</v>
      </c>
      <c r="I109" t="s">
        <v>286</v>
      </c>
      <c r="J109" t="s">
        <v>287</v>
      </c>
      <c r="K109" t="s">
        <v>288</v>
      </c>
      <c r="Q109" t="s">
        <v>289</v>
      </c>
      <c r="R109" t="str">
        <f>"КАЗАХСТАН, АКМОЛИНСКАЯ, ЗЕРЕНДИНСКИЙ РАЙОН, Малика Габдуллина, Серафимовка, 2, 1"</f>
        <v>КАЗАХСТАН, АКМОЛИНСКАЯ, ЗЕРЕНДИНСКИЙ РАЙОН, Малика Габдуллина, Серафимовка, 2, 1</v>
      </c>
      <c r="S109" t="str">
        <f>"ҚАЗАҚСТАН, АҚМОЛА, ЗЕРЕНДІ АУДАНЫ, Малика Габдуллина, Серафимовка, 2, 1"</f>
        <v>ҚАЗАҚСТАН, АҚМОЛА, ЗЕРЕНДІ АУДАНЫ, Малика Габдуллина, Серафимовка, 2, 1</v>
      </c>
      <c r="T109" t="str">
        <f>"Малика Габдуллина, Серафимовка, 2, 1"</f>
        <v>Малика Габдуллина, Серафимовка, 2, 1</v>
      </c>
      <c r="U109" t="str">
        <f>"Малика Габдуллина, Серафимовка, 2, 1"</f>
        <v>Малика Габдуллина, Серафимовка, 2, 1</v>
      </c>
      <c r="AC109" t="str">
        <f>"2020-08-24T00:00:00"</f>
        <v>2020-08-24T00:00:00</v>
      </c>
      <c r="AD109" t="str">
        <f>"60"</f>
        <v>60</v>
      </c>
      <c r="AE109" t="str">
        <f>"2024-09-01T11:21:59"</f>
        <v>2024-09-01T11:21:59</v>
      </c>
      <c r="AF109" t="str">
        <f>"2025-05-25T11:21:59"</f>
        <v>2025-05-25T11:21:59</v>
      </c>
      <c r="AG109" t="s">
        <v>290</v>
      </c>
      <c r="AI109" t="s">
        <v>373</v>
      </c>
      <c r="AK109" t="s">
        <v>703</v>
      </c>
      <c r="AP109" t="s">
        <v>293</v>
      </c>
      <c r="AT109" t="s">
        <v>294</v>
      </c>
      <c r="AU109" t="s">
        <v>295</v>
      </c>
      <c r="AW109" t="s">
        <v>296</v>
      </c>
      <c r="AX109">
        <v>2</v>
      </c>
      <c r="AY109" t="s">
        <v>297</v>
      </c>
      <c r="AZ109" t="s">
        <v>298</v>
      </c>
      <c r="BA109" t="s">
        <v>323</v>
      </c>
      <c r="BF109" t="s">
        <v>294</v>
      </c>
      <c r="BG109" t="s">
        <v>300</v>
      </c>
      <c r="BI109" t="s">
        <v>298</v>
      </c>
      <c r="BR109" t="s">
        <v>289</v>
      </c>
      <c r="BS109" t="s">
        <v>301</v>
      </c>
      <c r="BT109" t="s">
        <v>302</v>
      </c>
      <c r="BU109" t="s">
        <v>303</v>
      </c>
      <c r="BV109" t="s">
        <v>365</v>
      </c>
      <c r="BX109" t="s">
        <v>324</v>
      </c>
      <c r="BY109" t="s">
        <v>298</v>
      </c>
      <c r="BZ109" t="s">
        <v>306</v>
      </c>
      <c r="CA109" t="s">
        <v>325</v>
      </c>
      <c r="CC109" t="s">
        <v>308</v>
      </c>
      <c r="CD109" t="s">
        <v>309</v>
      </c>
      <c r="CE109" t="s">
        <v>294</v>
      </c>
      <c r="CH109" t="s">
        <v>304</v>
      </c>
      <c r="CI109" t="s">
        <v>304</v>
      </c>
      <c r="CJ109" t="s">
        <v>704</v>
      </c>
      <c r="CK109" t="s">
        <v>716</v>
      </c>
      <c r="CL109" t="s">
        <v>311</v>
      </c>
      <c r="CM109" t="s">
        <v>706</v>
      </c>
      <c r="CN109" t="s">
        <v>328</v>
      </c>
      <c r="CO109" t="s">
        <v>312</v>
      </c>
      <c r="CT109" t="s">
        <v>294</v>
      </c>
      <c r="CU109" t="s">
        <v>313</v>
      </c>
      <c r="CV109" t="s">
        <v>314</v>
      </c>
      <c r="CW109" t="s">
        <v>315</v>
      </c>
      <c r="CX109" t="s">
        <v>316</v>
      </c>
      <c r="CZ109" t="s">
        <v>289</v>
      </c>
      <c r="DA109" t="s">
        <v>289</v>
      </c>
      <c r="DB109" t="s">
        <v>289</v>
      </c>
      <c r="DC109" t="s">
        <v>289</v>
      </c>
      <c r="DI109" t="s">
        <v>289</v>
      </c>
      <c r="DL109" t="s">
        <v>289</v>
      </c>
      <c r="DM109" t="s">
        <v>317</v>
      </c>
      <c r="DS109" t="s">
        <v>289</v>
      </c>
      <c r="DT109" t="s">
        <v>289</v>
      </c>
      <c r="DU109" t="s">
        <v>318</v>
      </c>
      <c r="DV109" t="s">
        <v>289</v>
      </c>
      <c r="DX109" t="s">
        <v>319</v>
      </c>
      <c r="EA109" t="s">
        <v>294</v>
      </c>
    </row>
    <row r="110" spans="1:231" x14ac:dyDescent="0.25">
      <c r="A110">
        <v>15752218</v>
      </c>
      <c r="B110">
        <v>549494</v>
      </c>
      <c r="C110" t="str">
        <f>"141216601964"</f>
        <v>141216601964</v>
      </c>
      <c r="D110" t="s">
        <v>717</v>
      </c>
      <c r="E110" t="s">
        <v>437</v>
      </c>
      <c r="F110" t="s">
        <v>718</v>
      </c>
      <c r="G110" s="1">
        <v>41989</v>
      </c>
      <c r="I110" t="s">
        <v>286</v>
      </c>
      <c r="J110" t="s">
        <v>287</v>
      </c>
      <c r="K110" t="s">
        <v>288</v>
      </c>
      <c r="Q110" t="s">
        <v>289</v>
      </c>
      <c r="R110" t="str">
        <f>"КАЗАХСТАН, АКМОЛИНСКАЯ, ЗЕРЕНДИНСКИЙ РАЙОН, Зерендинский, Зеренда, 51"</f>
        <v>КАЗАХСТАН, АКМОЛИНСКАЯ, ЗЕРЕНДИНСКИЙ РАЙОН, Зерендинский, Зеренда, 51</v>
      </c>
      <c r="S110" t="str">
        <f>"ҚАЗАҚСТАН, АҚМОЛА, ЗЕРЕНДІ АУДАНЫ, Зерендинский, Зеренда, 51"</f>
        <v>ҚАЗАҚСТАН, АҚМОЛА, ЗЕРЕНДІ АУДАНЫ, Зерендинский, Зеренда, 51</v>
      </c>
      <c r="T110" t="str">
        <f>"Зерендинский, Зеренда, 51"</f>
        <v>Зерендинский, Зеренда, 51</v>
      </c>
      <c r="U110" t="str">
        <f>"Зерендинский, Зеренда, 51"</f>
        <v>Зерендинский, Зеренда, 51</v>
      </c>
      <c r="AC110" t="str">
        <f>"2020-07-21T00:00:00"</f>
        <v>2020-07-21T00:00:00</v>
      </c>
      <c r="AD110" t="str">
        <f>"42"</f>
        <v>42</v>
      </c>
      <c r="AE110" t="str">
        <f>"2024-09-01T11:23:44"</f>
        <v>2024-09-01T11:23:44</v>
      </c>
      <c r="AF110" t="str">
        <f>"2025-05-25T11:23:44"</f>
        <v>2025-05-25T11:23:44</v>
      </c>
      <c r="AG110" t="s">
        <v>290</v>
      </c>
      <c r="AI110" t="s">
        <v>291</v>
      </c>
      <c r="AK110" t="s">
        <v>703</v>
      </c>
      <c r="AP110" t="s">
        <v>293</v>
      </c>
      <c r="AT110" t="s">
        <v>294</v>
      </c>
      <c r="AU110" t="s">
        <v>295</v>
      </c>
      <c r="AW110" t="s">
        <v>296</v>
      </c>
      <c r="AX110">
        <v>2</v>
      </c>
      <c r="AY110" t="s">
        <v>297</v>
      </c>
      <c r="AZ110" t="s">
        <v>298</v>
      </c>
      <c r="BA110" t="s">
        <v>323</v>
      </c>
      <c r="BF110" t="s">
        <v>294</v>
      </c>
      <c r="BG110" t="s">
        <v>300</v>
      </c>
      <c r="BI110" t="s">
        <v>298</v>
      </c>
      <c r="BR110" t="s">
        <v>289</v>
      </c>
      <c r="BS110" t="s">
        <v>301</v>
      </c>
      <c r="BT110" t="s">
        <v>302</v>
      </c>
      <c r="BU110" t="s">
        <v>303</v>
      </c>
      <c r="BV110" t="s">
        <v>365</v>
      </c>
      <c r="BX110" t="s">
        <v>305</v>
      </c>
      <c r="BY110" t="s">
        <v>298</v>
      </c>
      <c r="BZ110" t="s">
        <v>306</v>
      </c>
      <c r="CA110" t="s">
        <v>307</v>
      </c>
      <c r="CC110" t="s">
        <v>308</v>
      </c>
      <c r="CD110" t="s">
        <v>309</v>
      </c>
      <c r="CE110" t="s">
        <v>294</v>
      </c>
      <c r="CH110" t="s">
        <v>304</v>
      </c>
      <c r="CI110" t="s">
        <v>304</v>
      </c>
      <c r="CJ110" s="2">
        <v>45566</v>
      </c>
      <c r="CK110" t="s">
        <v>335</v>
      </c>
      <c r="CM110" t="s">
        <v>719</v>
      </c>
      <c r="CN110" t="s">
        <v>651</v>
      </c>
      <c r="CO110" t="s">
        <v>312</v>
      </c>
      <c r="CT110" t="s">
        <v>294</v>
      </c>
      <c r="CU110" t="s">
        <v>313</v>
      </c>
      <c r="CV110" t="s">
        <v>314</v>
      </c>
      <c r="CW110" t="s">
        <v>315</v>
      </c>
      <c r="CX110" t="s">
        <v>316</v>
      </c>
      <c r="CZ110" t="s">
        <v>289</v>
      </c>
      <c r="DA110" t="s">
        <v>289</v>
      </c>
      <c r="DB110" t="s">
        <v>289</v>
      </c>
      <c r="DC110" t="s">
        <v>289</v>
      </c>
      <c r="DI110" t="s">
        <v>289</v>
      </c>
      <c r="DL110" t="s">
        <v>289</v>
      </c>
      <c r="DM110" t="s">
        <v>376</v>
      </c>
      <c r="DN110" t="s">
        <v>304</v>
      </c>
      <c r="DS110" t="s">
        <v>289</v>
      </c>
      <c r="DT110" t="s">
        <v>289</v>
      </c>
      <c r="DU110" t="s">
        <v>318</v>
      </c>
      <c r="DV110" t="s">
        <v>289</v>
      </c>
      <c r="DX110" t="s">
        <v>319</v>
      </c>
      <c r="EA110" t="s">
        <v>294</v>
      </c>
      <c r="HW110" t="s">
        <v>294</v>
      </c>
    </row>
    <row r="111" spans="1:231" x14ac:dyDescent="0.25">
      <c r="A111">
        <v>15772609</v>
      </c>
      <c r="B111">
        <v>638727</v>
      </c>
      <c r="C111" t="str">
        <f>"150105601464"</f>
        <v>150105601464</v>
      </c>
      <c r="D111" t="s">
        <v>720</v>
      </c>
      <c r="E111" t="s">
        <v>721</v>
      </c>
      <c r="F111" t="s">
        <v>722</v>
      </c>
      <c r="G111" s="1">
        <v>42009</v>
      </c>
      <c r="I111" t="s">
        <v>286</v>
      </c>
      <c r="J111" t="s">
        <v>287</v>
      </c>
      <c r="K111" t="s">
        <v>288</v>
      </c>
      <c r="Q111" t="s">
        <v>289</v>
      </c>
      <c r="R111" t="str">
        <f>"КАЗАХСТАН, АКМОЛИНСКАЯ, ЗЕРЕНДИНСКИЙ РАЙОН, ЗЕРЕНДІ, 16, 7"</f>
        <v>КАЗАХСТАН, АКМОЛИНСКАЯ, ЗЕРЕНДИНСКИЙ РАЙОН, ЗЕРЕНДІ, 16, 7</v>
      </c>
      <c r="S111" t="str">
        <f>"ҚАЗАҚСТАН, АҚМОЛА, ЗЕРЕНДІ АУДАНЫ, ЗЕРЕНДІ, 16, 7"</f>
        <v>ҚАЗАҚСТАН, АҚМОЛА, ЗЕРЕНДІ АУДАНЫ, ЗЕРЕНДІ, 16, 7</v>
      </c>
      <c r="T111" t="str">
        <f>"ЗЕРЕНДІ, 16, 7"</f>
        <v>ЗЕРЕНДІ, 16, 7</v>
      </c>
      <c r="U111" t="str">
        <f>"ЗЕРЕНДІ, 16, 7"</f>
        <v>ЗЕРЕНДІ, 16, 7</v>
      </c>
      <c r="AC111" t="str">
        <f>"2020-08-24T00:00:00"</f>
        <v>2020-08-24T00:00:00</v>
      </c>
      <c r="AD111" t="str">
        <f>"60"</f>
        <v>60</v>
      </c>
      <c r="AE111" t="str">
        <f>"2024-09-01T22:59:25"</f>
        <v>2024-09-01T22:59:25</v>
      </c>
      <c r="AF111" t="str">
        <f>"2025-05-25T22:59:25"</f>
        <v>2025-05-25T22:59:25</v>
      </c>
      <c r="AG111" t="s">
        <v>290</v>
      </c>
      <c r="AI111" t="s">
        <v>291</v>
      </c>
      <c r="AK111" t="s">
        <v>703</v>
      </c>
      <c r="AP111" t="s">
        <v>293</v>
      </c>
      <c r="AT111" t="s">
        <v>294</v>
      </c>
      <c r="AU111" t="s">
        <v>295</v>
      </c>
      <c r="AW111" t="s">
        <v>296</v>
      </c>
      <c r="AX111">
        <v>2</v>
      </c>
      <c r="AY111" t="s">
        <v>297</v>
      </c>
      <c r="AZ111" t="s">
        <v>298</v>
      </c>
      <c r="BA111" t="s">
        <v>323</v>
      </c>
      <c r="BF111" t="s">
        <v>294</v>
      </c>
      <c r="BG111" t="s">
        <v>300</v>
      </c>
      <c r="BI111" t="s">
        <v>298</v>
      </c>
      <c r="BR111" t="s">
        <v>289</v>
      </c>
      <c r="BS111" t="s">
        <v>301</v>
      </c>
      <c r="BT111" t="s">
        <v>302</v>
      </c>
      <c r="BU111" t="s">
        <v>303</v>
      </c>
      <c r="BV111" t="s">
        <v>365</v>
      </c>
      <c r="BX111" t="s">
        <v>305</v>
      </c>
      <c r="BY111" t="s">
        <v>298</v>
      </c>
      <c r="BZ111" t="s">
        <v>306</v>
      </c>
      <c r="CA111" t="s">
        <v>307</v>
      </c>
      <c r="CC111" t="s">
        <v>308</v>
      </c>
      <c r="CD111" t="s">
        <v>309</v>
      </c>
      <c r="CE111" t="s">
        <v>294</v>
      </c>
      <c r="CH111" t="s">
        <v>304</v>
      </c>
      <c r="CI111" t="s">
        <v>304</v>
      </c>
      <c r="CJ111" s="2">
        <v>45566</v>
      </c>
      <c r="CK111" t="s">
        <v>467</v>
      </c>
      <c r="CL111" t="s">
        <v>328</v>
      </c>
      <c r="CM111" t="s">
        <v>710</v>
      </c>
      <c r="CN111" t="s">
        <v>311</v>
      </c>
      <c r="CO111" t="s">
        <v>312</v>
      </c>
      <c r="CT111" t="s">
        <v>294</v>
      </c>
      <c r="CU111" t="s">
        <v>313</v>
      </c>
      <c r="CV111" t="s">
        <v>314</v>
      </c>
      <c r="CW111" t="s">
        <v>315</v>
      </c>
      <c r="CX111" t="s">
        <v>316</v>
      </c>
      <c r="CZ111" t="s">
        <v>289</v>
      </c>
      <c r="DA111" t="s">
        <v>289</v>
      </c>
      <c r="DB111" t="s">
        <v>289</v>
      </c>
      <c r="DC111" t="s">
        <v>289</v>
      </c>
      <c r="DI111" t="s">
        <v>289</v>
      </c>
      <c r="DL111" t="s">
        <v>723</v>
      </c>
      <c r="DM111" t="s">
        <v>724</v>
      </c>
      <c r="DN111" t="s">
        <v>304</v>
      </c>
      <c r="DS111" t="s">
        <v>289</v>
      </c>
      <c r="DT111" t="s">
        <v>289</v>
      </c>
      <c r="DU111" t="s">
        <v>318</v>
      </c>
      <c r="DV111" t="s">
        <v>289</v>
      </c>
      <c r="DX111" t="s">
        <v>319</v>
      </c>
      <c r="EA111" t="s">
        <v>289</v>
      </c>
    </row>
    <row r="112" spans="1:231" x14ac:dyDescent="0.25">
      <c r="A112">
        <v>15796468</v>
      </c>
      <c r="B112">
        <v>549574</v>
      </c>
      <c r="C112" t="str">
        <f>"140926601436"</f>
        <v>140926601436</v>
      </c>
      <c r="D112" t="s">
        <v>725</v>
      </c>
      <c r="E112" t="s">
        <v>726</v>
      </c>
      <c r="F112" t="s">
        <v>727</v>
      </c>
      <c r="G112" s="1">
        <v>41908</v>
      </c>
      <c r="I112" t="s">
        <v>286</v>
      </c>
      <c r="J112" t="s">
        <v>287</v>
      </c>
      <c r="K112" t="s">
        <v>288</v>
      </c>
      <c r="Q112" t="s">
        <v>289</v>
      </c>
      <c r="R112" t="str">
        <f>"КАЗАХСТАН, АКМОЛИНСКАЯ, ЗЕРЕНДИНСКИЙ РАЙОН, Зерендинский, Зеренда, 1, 1"</f>
        <v>КАЗАХСТАН, АКМОЛИНСКАЯ, ЗЕРЕНДИНСКИЙ РАЙОН, Зерендинский, Зеренда, 1, 1</v>
      </c>
      <c r="S112" t="str">
        <f>"ҚАЗАҚСТАН, АҚМОЛА, ЗЕРЕНДІ АУДАНЫ, Зерендинский, Зеренда, 1, 1"</f>
        <v>ҚАЗАҚСТАН, АҚМОЛА, ЗЕРЕНДІ АУДАНЫ, Зерендинский, Зеренда, 1, 1</v>
      </c>
      <c r="T112" t="str">
        <f>"Зерендинский, Зеренда, 1, 1"</f>
        <v>Зерендинский, Зеренда, 1, 1</v>
      </c>
      <c r="U112" t="str">
        <f>"Зерендинский, Зеренда, 1, 1"</f>
        <v>Зерендинский, Зеренда, 1, 1</v>
      </c>
      <c r="AC112" t="str">
        <f>"2020-08-25T00:00:00"</f>
        <v>2020-08-25T00:00:00</v>
      </c>
      <c r="AD112" t="str">
        <f>"60"</f>
        <v>60</v>
      </c>
      <c r="AE112" t="str">
        <f>"2024-09-01T11:57:39"</f>
        <v>2024-09-01T11:57:39</v>
      </c>
      <c r="AF112" t="str">
        <f>"2025-05-25T11:57:39"</f>
        <v>2025-05-25T11:57:39</v>
      </c>
      <c r="AG112" t="s">
        <v>290</v>
      </c>
      <c r="AI112" t="s">
        <v>291</v>
      </c>
      <c r="AK112" t="s">
        <v>703</v>
      </c>
      <c r="AP112" t="s">
        <v>293</v>
      </c>
      <c r="AQ112" t="s">
        <v>289</v>
      </c>
      <c r="AT112" t="s">
        <v>294</v>
      </c>
      <c r="AU112" t="s">
        <v>295</v>
      </c>
      <c r="AW112" t="s">
        <v>296</v>
      </c>
      <c r="AX112">
        <v>2</v>
      </c>
      <c r="AY112" t="s">
        <v>297</v>
      </c>
      <c r="AZ112" t="s">
        <v>298</v>
      </c>
      <c r="BA112" t="s">
        <v>323</v>
      </c>
      <c r="BF112" t="s">
        <v>294</v>
      </c>
      <c r="BG112" t="s">
        <v>300</v>
      </c>
      <c r="BI112" t="s">
        <v>298</v>
      </c>
      <c r="BR112" t="s">
        <v>289</v>
      </c>
      <c r="BS112" t="s">
        <v>301</v>
      </c>
      <c r="BT112" t="s">
        <v>302</v>
      </c>
      <c r="BU112" t="s">
        <v>303</v>
      </c>
      <c r="BV112" t="s">
        <v>365</v>
      </c>
      <c r="BX112" t="s">
        <v>305</v>
      </c>
      <c r="BY112" t="s">
        <v>298</v>
      </c>
      <c r="BZ112" t="s">
        <v>306</v>
      </c>
      <c r="CA112" t="s">
        <v>307</v>
      </c>
      <c r="CC112" t="s">
        <v>308</v>
      </c>
      <c r="CD112" t="s">
        <v>309</v>
      </c>
      <c r="CE112" t="s">
        <v>294</v>
      </c>
      <c r="CH112" t="s">
        <v>304</v>
      </c>
      <c r="CI112" t="s">
        <v>304</v>
      </c>
      <c r="CJ112" s="2">
        <v>45566</v>
      </c>
      <c r="CK112" t="s">
        <v>705</v>
      </c>
      <c r="CL112" t="s">
        <v>311</v>
      </c>
      <c r="CM112" t="s">
        <v>710</v>
      </c>
      <c r="CN112" t="s">
        <v>311</v>
      </c>
      <c r="CO112" t="s">
        <v>312</v>
      </c>
      <c r="CT112" t="s">
        <v>294</v>
      </c>
      <c r="CU112" t="s">
        <v>313</v>
      </c>
      <c r="CV112" t="s">
        <v>314</v>
      </c>
      <c r="CW112" t="s">
        <v>315</v>
      </c>
      <c r="CX112" t="s">
        <v>316</v>
      </c>
      <c r="CZ112" t="s">
        <v>289</v>
      </c>
      <c r="DA112" t="s">
        <v>289</v>
      </c>
      <c r="DB112" t="s">
        <v>289</v>
      </c>
      <c r="DC112" t="s">
        <v>289</v>
      </c>
      <c r="DI112" t="s">
        <v>289</v>
      </c>
      <c r="DL112" t="s">
        <v>289</v>
      </c>
      <c r="DM112" t="s">
        <v>317</v>
      </c>
      <c r="DS112" t="s">
        <v>289</v>
      </c>
      <c r="DT112" t="s">
        <v>289</v>
      </c>
      <c r="DU112" t="s">
        <v>318</v>
      </c>
      <c r="DV112" t="s">
        <v>289</v>
      </c>
      <c r="DX112" t="s">
        <v>319</v>
      </c>
      <c r="EA112" t="s">
        <v>289</v>
      </c>
    </row>
    <row r="113" spans="1:231" x14ac:dyDescent="0.25">
      <c r="A113">
        <v>15796891</v>
      </c>
      <c r="B113">
        <v>956360</v>
      </c>
      <c r="C113" t="str">
        <f>"141120501282"</f>
        <v>141120501282</v>
      </c>
      <c r="D113" t="s">
        <v>494</v>
      </c>
      <c r="E113" t="s">
        <v>728</v>
      </c>
      <c r="F113" t="s">
        <v>496</v>
      </c>
      <c r="G113" s="1">
        <v>41963</v>
      </c>
      <c r="I113" t="s">
        <v>353</v>
      </c>
      <c r="J113" t="s">
        <v>287</v>
      </c>
      <c r="K113" t="s">
        <v>288</v>
      </c>
      <c r="Q113" t="s">
        <v>289</v>
      </c>
      <c r="R113" t="str">
        <f>"КАЗАХСТАН, АКМОЛИНСКАЯ, ЗЕРЕНДИНСКИЙ РАЙОН, Зерендинский, Зеренда, 13, 7"</f>
        <v>КАЗАХСТАН, АКМОЛИНСКАЯ, ЗЕРЕНДИНСКИЙ РАЙОН, Зерендинский, Зеренда, 13, 7</v>
      </c>
      <c r="S113" t="str">
        <f>"ҚАЗАҚСТАН, АҚМОЛА, ЗЕРЕНДІ АУДАНЫ, Зерендинский, Зеренда, 13, 7"</f>
        <v>ҚАЗАҚСТАН, АҚМОЛА, ЗЕРЕНДІ АУДАНЫ, Зерендинский, Зеренда, 13, 7</v>
      </c>
      <c r="T113" t="str">
        <f>"Зерендинский, Зеренда, 13, 7"</f>
        <v>Зерендинский, Зеренда, 13, 7</v>
      </c>
      <c r="U113" t="str">
        <f>"Зерендинский, Зеренда, 13, 7"</f>
        <v>Зерендинский, Зеренда, 13, 7</v>
      </c>
      <c r="AC113" t="str">
        <f>"2020-08-24T00:00:00"</f>
        <v>2020-08-24T00:00:00</v>
      </c>
      <c r="AD113" t="str">
        <f>"60"</f>
        <v>60</v>
      </c>
      <c r="AE113" t="str">
        <f>"2024-09-01T11:25:08"</f>
        <v>2024-09-01T11:25:08</v>
      </c>
      <c r="AF113" t="str">
        <f>"2025-05-25T11:25:08"</f>
        <v>2025-05-25T11:25:08</v>
      </c>
      <c r="AG113" t="s">
        <v>290</v>
      </c>
      <c r="AI113" t="s">
        <v>291</v>
      </c>
      <c r="AK113" t="s">
        <v>703</v>
      </c>
      <c r="AP113" t="s">
        <v>293</v>
      </c>
      <c r="AT113" t="s">
        <v>294</v>
      </c>
      <c r="AU113" t="s">
        <v>295</v>
      </c>
      <c r="AW113" t="s">
        <v>296</v>
      </c>
      <c r="AX113">
        <v>2</v>
      </c>
      <c r="AY113" t="s">
        <v>297</v>
      </c>
      <c r="AZ113" t="s">
        <v>298</v>
      </c>
      <c r="BA113" t="s">
        <v>323</v>
      </c>
      <c r="BF113" t="s">
        <v>294</v>
      </c>
      <c r="BG113" t="s">
        <v>300</v>
      </c>
      <c r="BI113" t="s">
        <v>298</v>
      </c>
      <c r="BR113" t="s">
        <v>289</v>
      </c>
      <c r="BS113" t="s">
        <v>301</v>
      </c>
      <c r="BT113" t="s">
        <v>302</v>
      </c>
      <c r="BU113" t="s">
        <v>303</v>
      </c>
      <c r="BV113" t="s">
        <v>365</v>
      </c>
      <c r="BX113" t="s">
        <v>392</v>
      </c>
      <c r="BY113" t="s">
        <v>298</v>
      </c>
      <c r="BZ113" t="s">
        <v>343</v>
      </c>
      <c r="CA113">
        <v>5</v>
      </c>
      <c r="CC113" t="s">
        <v>308</v>
      </c>
      <c r="CD113" t="s">
        <v>309</v>
      </c>
      <c r="CE113" t="s">
        <v>294</v>
      </c>
      <c r="CH113" t="s">
        <v>304</v>
      </c>
      <c r="CI113" t="s">
        <v>304</v>
      </c>
      <c r="CJ113" s="2">
        <v>45566</v>
      </c>
      <c r="CK113" t="s">
        <v>497</v>
      </c>
      <c r="CL113" t="s">
        <v>328</v>
      </c>
      <c r="CM113" t="s">
        <v>729</v>
      </c>
      <c r="CN113" t="s">
        <v>311</v>
      </c>
      <c r="CO113" t="s">
        <v>312</v>
      </c>
      <c r="CT113" t="s">
        <v>294</v>
      </c>
      <c r="CU113" t="s">
        <v>313</v>
      </c>
      <c r="CV113" t="s">
        <v>314</v>
      </c>
      <c r="CW113" t="s">
        <v>315</v>
      </c>
      <c r="CX113" t="s">
        <v>316</v>
      </c>
      <c r="CZ113" t="s">
        <v>289</v>
      </c>
      <c r="DA113" t="s">
        <v>289</v>
      </c>
      <c r="DB113" t="s">
        <v>289</v>
      </c>
      <c r="DC113" t="s">
        <v>289</v>
      </c>
      <c r="DI113" t="s">
        <v>289</v>
      </c>
      <c r="DL113" t="s">
        <v>289</v>
      </c>
      <c r="DM113" t="s">
        <v>317</v>
      </c>
      <c r="DS113" t="s">
        <v>289</v>
      </c>
      <c r="DT113" t="s">
        <v>289</v>
      </c>
      <c r="DU113" t="s">
        <v>318</v>
      </c>
      <c r="DV113" t="s">
        <v>289</v>
      </c>
      <c r="DX113" t="s">
        <v>319</v>
      </c>
      <c r="EA113" t="s">
        <v>289</v>
      </c>
    </row>
    <row r="114" spans="1:231" x14ac:dyDescent="0.25">
      <c r="A114">
        <v>15797206</v>
      </c>
      <c r="B114">
        <v>956599</v>
      </c>
      <c r="C114" t="str">
        <f>"150701501100"</f>
        <v>150701501100</v>
      </c>
      <c r="D114" t="s">
        <v>520</v>
      </c>
      <c r="E114" t="s">
        <v>730</v>
      </c>
      <c r="F114" t="s">
        <v>522</v>
      </c>
      <c r="G114" s="1">
        <v>42186</v>
      </c>
      <c r="I114" t="s">
        <v>353</v>
      </c>
      <c r="J114" t="s">
        <v>287</v>
      </c>
      <c r="K114" t="s">
        <v>288</v>
      </c>
      <c r="Q114" t="s">
        <v>289</v>
      </c>
      <c r="R114" t="str">
        <f>"КАЗАХСТАН, АКМОЛИНСКАЯ, ЗЕРЕНДИНСКИЙ РАЙОН, Зерендинский, Зеренда, 76, 20"</f>
        <v>КАЗАХСТАН, АКМОЛИНСКАЯ, ЗЕРЕНДИНСКИЙ РАЙОН, Зерендинский, Зеренда, 76, 20</v>
      </c>
      <c r="S114" t="str">
        <f>"ҚАЗАҚСТАН, АҚМОЛА, ЗЕРЕНДІ АУДАНЫ, Зерендинский, Зеренда, 76, 20"</f>
        <v>ҚАЗАҚСТАН, АҚМОЛА, ЗЕРЕНДІ АУДАНЫ, Зерендинский, Зеренда, 76, 20</v>
      </c>
      <c r="T114" t="str">
        <f>"Зерендинский, Зеренда, 76, 20"</f>
        <v>Зерендинский, Зеренда, 76, 20</v>
      </c>
      <c r="U114" t="str">
        <f>"Зерендинский, Зеренда, 76, 20"</f>
        <v>Зерендинский, Зеренда, 76, 20</v>
      </c>
      <c r="AC114" t="str">
        <f>"2020-08-24T00:00:00"</f>
        <v>2020-08-24T00:00:00</v>
      </c>
      <c r="AD114" t="str">
        <f>"60"</f>
        <v>60</v>
      </c>
      <c r="AE114" t="str">
        <f>"2024-09-01T11:25:45"</f>
        <v>2024-09-01T11:25:45</v>
      </c>
      <c r="AF114" t="str">
        <f>"2025-05-25T11:25:45"</f>
        <v>2025-05-25T11:25:45</v>
      </c>
      <c r="AG114" t="s">
        <v>290</v>
      </c>
      <c r="AI114" t="s">
        <v>291</v>
      </c>
      <c r="AK114" t="s">
        <v>703</v>
      </c>
      <c r="AP114" t="s">
        <v>293</v>
      </c>
      <c r="AT114" t="s">
        <v>294</v>
      </c>
      <c r="AU114" t="s">
        <v>295</v>
      </c>
      <c r="AW114" t="s">
        <v>296</v>
      </c>
      <c r="AX114">
        <v>2</v>
      </c>
      <c r="AY114" t="s">
        <v>297</v>
      </c>
      <c r="AZ114" t="s">
        <v>298</v>
      </c>
      <c r="BA114" t="s">
        <v>323</v>
      </c>
      <c r="BF114" t="s">
        <v>294</v>
      </c>
      <c r="BG114" t="s">
        <v>300</v>
      </c>
      <c r="BI114" t="s">
        <v>298</v>
      </c>
      <c r="BR114" t="s">
        <v>289</v>
      </c>
      <c r="BS114" t="s">
        <v>301</v>
      </c>
      <c r="BT114" t="s">
        <v>302</v>
      </c>
      <c r="BU114" t="s">
        <v>303</v>
      </c>
      <c r="BV114" t="s">
        <v>365</v>
      </c>
      <c r="BX114" t="s">
        <v>305</v>
      </c>
      <c r="BY114" t="s">
        <v>298</v>
      </c>
      <c r="BZ114" t="s">
        <v>306</v>
      </c>
      <c r="CA114" t="s">
        <v>307</v>
      </c>
      <c r="CC114" t="s">
        <v>308</v>
      </c>
      <c r="CD114" t="s">
        <v>309</v>
      </c>
      <c r="CE114" t="s">
        <v>294</v>
      </c>
      <c r="CH114" t="s">
        <v>304</v>
      </c>
      <c r="CI114" t="s">
        <v>304</v>
      </c>
      <c r="CJ114" s="2">
        <v>45566</v>
      </c>
      <c r="CK114" t="s">
        <v>335</v>
      </c>
      <c r="CM114" t="s">
        <v>731</v>
      </c>
      <c r="CN114" t="s">
        <v>345</v>
      </c>
      <c r="CO114" t="s">
        <v>312</v>
      </c>
      <c r="CT114" t="s">
        <v>294</v>
      </c>
      <c r="CU114" t="s">
        <v>313</v>
      </c>
      <c r="CV114" t="s">
        <v>314</v>
      </c>
      <c r="CW114" t="s">
        <v>315</v>
      </c>
      <c r="CX114" t="s">
        <v>316</v>
      </c>
      <c r="CZ114" t="s">
        <v>289</v>
      </c>
      <c r="DA114" t="s">
        <v>289</v>
      </c>
      <c r="DB114" t="s">
        <v>289</v>
      </c>
      <c r="DC114" t="s">
        <v>289</v>
      </c>
      <c r="DI114" t="s">
        <v>289</v>
      </c>
      <c r="DL114" t="s">
        <v>289</v>
      </c>
      <c r="DM114" t="s">
        <v>376</v>
      </c>
      <c r="DN114" t="s">
        <v>304</v>
      </c>
      <c r="DS114" t="s">
        <v>289</v>
      </c>
      <c r="DT114" t="s">
        <v>289</v>
      </c>
      <c r="DU114" t="s">
        <v>318</v>
      </c>
      <c r="DV114" t="s">
        <v>289</v>
      </c>
      <c r="DX114" t="s">
        <v>319</v>
      </c>
      <c r="EA114" t="s">
        <v>289</v>
      </c>
    </row>
    <row r="115" spans="1:231" x14ac:dyDescent="0.25">
      <c r="A115">
        <v>15813752</v>
      </c>
      <c r="B115">
        <v>140455</v>
      </c>
      <c r="C115" t="str">
        <f>"090422550862"</f>
        <v>090422550862</v>
      </c>
      <c r="D115" t="s">
        <v>732</v>
      </c>
      <c r="E115" t="s">
        <v>733</v>
      </c>
      <c r="F115" t="s">
        <v>734</v>
      </c>
      <c r="G115" s="1">
        <v>39925</v>
      </c>
      <c r="I115" t="s">
        <v>353</v>
      </c>
      <c r="J115" t="s">
        <v>287</v>
      </c>
      <c r="K115" t="s">
        <v>288</v>
      </c>
      <c r="Q115" t="s">
        <v>289</v>
      </c>
      <c r="R115" t="str">
        <f>"КАЗАХСТАН, АКМОЛИНСКАЯ, ЗЕРЕНДИНСКИЙ РАЙОН, Зерендинский, Зеренда, 4, 2"</f>
        <v>КАЗАХСТАН, АКМОЛИНСКАЯ, ЗЕРЕНДИНСКИЙ РАЙОН, Зерендинский, Зеренда, 4, 2</v>
      </c>
      <c r="S115" t="str">
        <f>"ҚАЗАҚСТАН, АҚМОЛА, ЗЕРЕНДІ АУДАНЫ, Зерендинский, Зеренда, 4, 2"</f>
        <v>ҚАЗАҚСТАН, АҚМОЛА, ЗЕРЕНДІ АУДАНЫ, Зерендинский, Зеренда, 4, 2</v>
      </c>
      <c r="T115" t="str">
        <f>"Зерендинский, Зеренда, 4, 2"</f>
        <v>Зерендинский, Зеренда, 4, 2</v>
      </c>
      <c r="U115" t="str">
        <f>"Зерендинский, Зеренда, 4, 2"</f>
        <v>Зерендинский, Зеренда, 4, 2</v>
      </c>
      <c r="AC115" t="str">
        <f>"2020-08-05T00:00:00"</f>
        <v>2020-08-05T00:00:00</v>
      </c>
      <c r="AD115" t="str">
        <f>"46"</f>
        <v>46</v>
      </c>
      <c r="AE115" t="str">
        <f>"2024-09-01T18:23:54"</f>
        <v>2024-09-01T18:23:54</v>
      </c>
      <c r="AF115" t="str">
        <f>"2025-05-25T18:23:54"</f>
        <v>2025-05-25T18:23:54</v>
      </c>
      <c r="AG115" t="s">
        <v>290</v>
      </c>
      <c r="AH115" t="str">
        <f>"nurislam09@mail.ru"</f>
        <v>nurislam09@mail.ru</v>
      </c>
      <c r="AI115" t="s">
        <v>373</v>
      </c>
      <c r="AK115" t="s">
        <v>402</v>
      </c>
      <c r="AP115" t="s">
        <v>293</v>
      </c>
      <c r="AT115" t="s">
        <v>294</v>
      </c>
      <c r="AU115" t="s">
        <v>295</v>
      </c>
      <c r="AW115" t="s">
        <v>296</v>
      </c>
      <c r="AX115">
        <v>1</v>
      </c>
      <c r="AY115" t="s">
        <v>297</v>
      </c>
      <c r="AZ115" t="s">
        <v>298</v>
      </c>
      <c r="BA115" t="s">
        <v>349</v>
      </c>
      <c r="BE115" t="str">
        <f>"2020-11-03T20:28:58"</f>
        <v>2020-11-03T20:28:58</v>
      </c>
      <c r="BF115" t="s">
        <v>294</v>
      </c>
      <c r="BG115" t="s">
        <v>300</v>
      </c>
      <c r="BI115" t="s">
        <v>298</v>
      </c>
      <c r="BR115" t="s">
        <v>289</v>
      </c>
      <c r="BS115" t="s">
        <v>301</v>
      </c>
      <c r="BT115" t="s">
        <v>302</v>
      </c>
      <c r="BU115" t="s">
        <v>303</v>
      </c>
      <c r="BV115" t="s">
        <v>304</v>
      </c>
      <c r="BX115" t="s">
        <v>324</v>
      </c>
      <c r="BY115" t="s">
        <v>298</v>
      </c>
      <c r="BZ115" t="s">
        <v>403</v>
      </c>
      <c r="CA115" t="s">
        <v>735</v>
      </c>
      <c r="CC115" t="s">
        <v>308</v>
      </c>
      <c r="CD115" t="s">
        <v>309</v>
      </c>
      <c r="CE115" t="s">
        <v>294</v>
      </c>
      <c r="CH115" t="s">
        <v>304</v>
      </c>
      <c r="CI115" t="s">
        <v>304</v>
      </c>
      <c r="CK115" t="s">
        <v>455</v>
      </c>
      <c r="CL115" t="s">
        <v>328</v>
      </c>
      <c r="CM115" t="s">
        <v>298</v>
      </c>
      <c r="CO115" t="s">
        <v>312</v>
      </c>
      <c r="CT115" t="s">
        <v>294</v>
      </c>
      <c r="CU115" t="s">
        <v>405</v>
      </c>
      <c r="CW115" t="s">
        <v>406</v>
      </c>
      <c r="CX115" t="s">
        <v>316</v>
      </c>
      <c r="CZ115" t="s">
        <v>289</v>
      </c>
      <c r="DA115" t="s">
        <v>289</v>
      </c>
      <c r="DB115" t="s">
        <v>289</v>
      </c>
      <c r="DC115" t="s">
        <v>289</v>
      </c>
      <c r="DI115" t="s">
        <v>289</v>
      </c>
      <c r="DL115" t="s">
        <v>289</v>
      </c>
      <c r="DM115" t="s">
        <v>317</v>
      </c>
      <c r="DS115" t="s">
        <v>289</v>
      </c>
      <c r="DT115" t="s">
        <v>289</v>
      </c>
      <c r="DU115" t="s">
        <v>318</v>
      </c>
      <c r="DV115" t="s">
        <v>289</v>
      </c>
      <c r="DX115" t="s">
        <v>319</v>
      </c>
      <c r="EA115" t="s">
        <v>294</v>
      </c>
    </row>
    <row r="116" spans="1:231" x14ac:dyDescent="0.25">
      <c r="A116">
        <v>15880903</v>
      </c>
      <c r="B116">
        <v>549527</v>
      </c>
      <c r="C116" t="str">
        <f>"150123501446"</f>
        <v>150123501446</v>
      </c>
      <c r="D116" t="s">
        <v>635</v>
      </c>
      <c r="E116" t="s">
        <v>736</v>
      </c>
      <c r="F116" t="s">
        <v>636</v>
      </c>
      <c r="G116" s="1">
        <v>42027</v>
      </c>
      <c r="I116" t="s">
        <v>353</v>
      </c>
      <c r="J116" t="s">
        <v>287</v>
      </c>
      <c r="K116" t="s">
        <v>288</v>
      </c>
      <c r="Q116" t="s">
        <v>289</v>
      </c>
      <c r="R116" t="str">
        <f>"КАЗАХСТАН, АКМОЛИНСКАЯ, ЗЕРЕНДИНСКИЙ РАЙОН, ЗЕРЕНДІ, 14, 1"</f>
        <v>КАЗАХСТАН, АКМОЛИНСКАЯ, ЗЕРЕНДИНСКИЙ РАЙОН, ЗЕРЕНДІ, 14, 1</v>
      </c>
      <c r="S116" t="str">
        <f>"ҚАЗАҚСТАН, АҚМОЛА, ЗЕРЕНДІ АУДАНЫ, ЗЕРЕНДІ, 14, 1"</f>
        <v>ҚАЗАҚСТАН, АҚМОЛА, ЗЕРЕНДІ АУДАНЫ, ЗЕРЕНДІ, 14, 1</v>
      </c>
      <c r="T116" t="str">
        <f>"ЗЕРЕНДІ, 14, 1"</f>
        <v>ЗЕРЕНДІ, 14, 1</v>
      </c>
      <c r="U116" t="str">
        <f>"ЗЕРЕНДІ, 14, 1"</f>
        <v>ЗЕРЕНДІ, 14, 1</v>
      </c>
      <c r="AC116" t="str">
        <f>"2020-08-26T00:00:00"</f>
        <v>2020-08-26T00:00:00</v>
      </c>
      <c r="AD116" t="str">
        <f>"62"</f>
        <v>62</v>
      </c>
      <c r="AE116" t="str">
        <f>"2024-09-01T11:26:19"</f>
        <v>2024-09-01T11:26:19</v>
      </c>
      <c r="AF116" t="str">
        <f>"2025-05-25T11:26:19"</f>
        <v>2025-05-25T11:26:19</v>
      </c>
      <c r="AG116" t="s">
        <v>290</v>
      </c>
      <c r="AI116" t="s">
        <v>291</v>
      </c>
      <c r="AK116" t="s">
        <v>703</v>
      </c>
      <c r="AP116" t="s">
        <v>293</v>
      </c>
      <c r="AT116" t="s">
        <v>294</v>
      </c>
      <c r="AU116" t="s">
        <v>295</v>
      </c>
      <c r="AW116" t="s">
        <v>296</v>
      </c>
      <c r="AX116">
        <v>2</v>
      </c>
      <c r="AY116" t="s">
        <v>297</v>
      </c>
      <c r="AZ116" t="s">
        <v>298</v>
      </c>
      <c r="BA116" t="s">
        <v>323</v>
      </c>
      <c r="BF116" t="s">
        <v>294</v>
      </c>
      <c r="BG116" t="s">
        <v>300</v>
      </c>
      <c r="BI116" t="s">
        <v>298</v>
      </c>
      <c r="BR116" t="s">
        <v>289</v>
      </c>
      <c r="BS116" t="s">
        <v>301</v>
      </c>
      <c r="BT116" t="s">
        <v>302</v>
      </c>
      <c r="BU116" t="s">
        <v>303</v>
      </c>
      <c r="BV116" t="s">
        <v>365</v>
      </c>
      <c r="BX116" t="s">
        <v>324</v>
      </c>
      <c r="BY116" t="s">
        <v>298</v>
      </c>
      <c r="BZ116" t="s">
        <v>306</v>
      </c>
      <c r="CA116" t="s">
        <v>325</v>
      </c>
      <c r="CC116" t="s">
        <v>308</v>
      </c>
      <c r="CD116" t="s">
        <v>309</v>
      </c>
      <c r="CE116" t="s">
        <v>294</v>
      </c>
      <c r="CH116" t="s">
        <v>304</v>
      </c>
      <c r="CI116" t="s">
        <v>304</v>
      </c>
      <c r="CJ116" s="2">
        <v>45566</v>
      </c>
      <c r="CK116" t="s">
        <v>335</v>
      </c>
      <c r="CM116" t="s">
        <v>737</v>
      </c>
      <c r="CN116" t="s">
        <v>345</v>
      </c>
      <c r="CO116" t="s">
        <v>312</v>
      </c>
      <c r="CT116" t="s">
        <v>294</v>
      </c>
      <c r="CU116" t="s">
        <v>313</v>
      </c>
      <c r="CV116" t="s">
        <v>314</v>
      </c>
      <c r="CW116" t="s">
        <v>315</v>
      </c>
      <c r="CX116" t="s">
        <v>316</v>
      </c>
      <c r="CZ116" t="s">
        <v>289</v>
      </c>
      <c r="DA116" t="s">
        <v>289</v>
      </c>
      <c r="DB116" t="s">
        <v>289</v>
      </c>
      <c r="DC116" t="s">
        <v>289</v>
      </c>
      <c r="DI116" t="s">
        <v>289</v>
      </c>
      <c r="DL116" t="s">
        <v>289</v>
      </c>
      <c r="DM116" t="s">
        <v>317</v>
      </c>
      <c r="DS116" t="s">
        <v>289</v>
      </c>
      <c r="DT116" t="s">
        <v>289</v>
      </c>
      <c r="DU116" t="s">
        <v>318</v>
      </c>
      <c r="DV116" t="s">
        <v>289</v>
      </c>
      <c r="DX116" t="s">
        <v>319</v>
      </c>
      <c r="EA116" t="s">
        <v>289</v>
      </c>
    </row>
    <row r="117" spans="1:231" x14ac:dyDescent="0.25">
      <c r="A117">
        <v>16257455</v>
      </c>
      <c r="B117">
        <v>638818</v>
      </c>
      <c r="C117" t="str">
        <f>"150619501776"</f>
        <v>150619501776</v>
      </c>
      <c r="D117" t="s">
        <v>383</v>
      </c>
      <c r="E117" t="s">
        <v>738</v>
      </c>
      <c r="F117" t="s">
        <v>385</v>
      </c>
      <c r="G117" s="1">
        <v>42174</v>
      </c>
      <c r="I117" t="s">
        <v>353</v>
      </c>
      <c r="J117" t="s">
        <v>287</v>
      </c>
      <c r="K117" t="s">
        <v>288</v>
      </c>
      <c r="Q117" t="s">
        <v>289</v>
      </c>
      <c r="R117" t="str">
        <f>"КАЗАХСТАН, АКМОЛИНСКАЯ, ЗЕРЕНДИНСКИЙ РАЙОН, ЗЕРЕНДІ, 22"</f>
        <v>КАЗАХСТАН, АКМОЛИНСКАЯ, ЗЕРЕНДИНСКИЙ РАЙОН, ЗЕРЕНДІ, 22</v>
      </c>
      <c r="S117" t="str">
        <f>"ҚАЗАҚСТАН, АҚМОЛА, ЗЕРЕНДІ АУДАНЫ, ЗЕРЕНДІ, 22"</f>
        <v>ҚАЗАҚСТАН, АҚМОЛА, ЗЕРЕНДІ АУДАНЫ, ЗЕРЕНДІ, 22</v>
      </c>
      <c r="T117" t="str">
        <f>"ЗЕРЕНДІ, 22"</f>
        <v>ЗЕРЕНДІ, 22</v>
      </c>
      <c r="U117" t="str">
        <f>"ЗЕРЕНДІ, 22"</f>
        <v>ЗЕРЕНДІ, 22</v>
      </c>
      <c r="AC117" t="str">
        <f>"2020-09-01T00:00:00"</f>
        <v>2020-09-01T00:00:00</v>
      </c>
      <c r="AD117" t="str">
        <f>"1"</f>
        <v>1</v>
      </c>
      <c r="AE117" t="str">
        <f>"2024-09-01T11:27:17"</f>
        <v>2024-09-01T11:27:17</v>
      </c>
      <c r="AF117" t="str">
        <f>"2025-05-25T11:27:17"</f>
        <v>2025-05-25T11:27:17</v>
      </c>
      <c r="AG117" t="s">
        <v>290</v>
      </c>
      <c r="AI117" t="s">
        <v>373</v>
      </c>
      <c r="AK117" t="s">
        <v>703</v>
      </c>
      <c r="AP117" t="s">
        <v>293</v>
      </c>
      <c r="AT117" t="s">
        <v>294</v>
      </c>
      <c r="AU117" t="s">
        <v>295</v>
      </c>
      <c r="AW117" t="s">
        <v>296</v>
      </c>
      <c r="AX117">
        <v>2</v>
      </c>
      <c r="AY117" t="s">
        <v>297</v>
      </c>
      <c r="AZ117" t="s">
        <v>298</v>
      </c>
      <c r="BA117" t="s">
        <v>299</v>
      </c>
      <c r="BF117" t="s">
        <v>294</v>
      </c>
      <c r="BG117" t="s">
        <v>300</v>
      </c>
      <c r="BI117" t="s">
        <v>298</v>
      </c>
      <c r="BR117" t="s">
        <v>289</v>
      </c>
      <c r="BS117" t="s">
        <v>301</v>
      </c>
      <c r="BT117" t="s">
        <v>302</v>
      </c>
      <c r="BU117" t="s">
        <v>303</v>
      </c>
      <c r="BV117" t="s">
        <v>365</v>
      </c>
      <c r="BX117" t="s">
        <v>392</v>
      </c>
      <c r="BY117" t="s">
        <v>298</v>
      </c>
      <c r="BZ117" t="s">
        <v>306</v>
      </c>
      <c r="CA117" t="s">
        <v>393</v>
      </c>
      <c r="CC117" t="s">
        <v>308</v>
      </c>
      <c r="CD117" t="s">
        <v>309</v>
      </c>
      <c r="CE117" t="s">
        <v>294</v>
      </c>
      <c r="CH117" t="s">
        <v>304</v>
      </c>
      <c r="CI117" t="s">
        <v>304</v>
      </c>
      <c r="CJ117" s="2">
        <v>45566</v>
      </c>
      <c r="CK117" t="s">
        <v>335</v>
      </c>
      <c r="CM117" t="s">
        <v>739</v>
      </c>
      <c r="CN117" t="s">
        <v>651</v>
      </c>
      <c r="CO117" t="s">
        <v>312</v>
      </c>
      <c r="CT117" t="s">
        <v>294</v>
      </c>
      <c r="CU117" t="s">
        <v>313</v>
      </c>
      <c r="CV117" t="s">
        <v>314</v>
      </c>
      <c r="CW117" t="s">
        <v>315</v>
      </c>
      <c r="CX117" t="s">
        <v>316</v>
      </c>
      <c r="CZ117" t="s">
        <v>289</v>
      </c>
      <c r="DA117" t="s">
        <v>289</v>
      </c>
      <c r="DB117" t="s">
        <v>289</v>
      </c>
      <c r="DC117" t="s">
        <v>289</v>
      </c>
      <c r="DI117" t="s">
        <v>289</v>
      </c>
      <c r="DL117" t="s">
        <v>289</v>
      </c>
      <c r="DM117" t="s">
        <v>317</v>
      </c>
      <c r="DS117" t="s">
        <v>289</v>
      </c>
      <c r="DT117" t="s">
        <v>289</v>
      </c>
      <c r="DU117" t="s">
        <v>318</v>
      </c>
      <c r="DV117" t="s">
        <v>289</v>
      </c>
      <c r="DX117" t="s">
        <v>319</v>
      </c>
      <c r="EA117" t="s">
        <v>289</v>
      </c>
      <c r="HW117" t="s">
        <v>294</v>
      </c>
    </row>
    <row r="118" spans="1:231" x14ac:dyDescent="0.25">
      <c r="A118">
        <v>18000566</v>
      </c>
      <c r="B118">
        <v>115005</v>
      </c>
      <c r="C118" t="str">
        <f>"100331552145"</f>
        <v>100331552145</v>
      </c>
      <c r="D118" t="s">
        <v>740</v>
      </c>
      <c r="E118" t="s">
        <v>396</v>
      </c>
      <c r="F118" t="s">
        <v>741</v>
      </c>
      <c r="G118" s="1">
        <v>40268</v>
      </c>
      <c r="I118" t="s">
        <v>353</v>
      </c>
      <c r="J118" t="s">
        <v>287</v>
      </c>
      <c r="K118" t="s">
        <v>288</v>
      </c>
      <c r="Q118" t="s">
        <v>289</v>
      </c>
      <c r="R118" t="str">
        <f>"КАЗАХСТАН, АКМОЛИНСКАЯ, КОКШЕТАУ, 167, 2"</f>
        <v>КАЗАХСТАН, АКМОЛИНСКАЯ, КОКШЕТАУ, 167, 2</v>
      </c>
      <c r="S118" t="str">
        <f>"ҚАЗАҚСТАН, АҚМОЛА, КӨКШЕТАУ, 167, 2"</f>
        <v>ҚАЗАҚСТАН, АҚМОЛА, КӨКШЕТАУ, 167, 2</v>
      </c>
      <c r="T118" t="str">
        <f>"167, 2"</f>
        <v>167, 2</v>
      </c>
      <c r="U118" t="str">
        <f>"167, 2"</f>
        <v>167, 2</v>
      </c>
      <c r="AC118" t="str">
        <f>"2020-11-09T00:00:00"</f>
        <v>2020-11-09T00:00:00</v>
      </c>
      <c r="AD118" t="str">
        <f>"189"</f>
        <v>189</v>
      </c>
      <c r="AE118" t="str">
        <f>"2024-09-01T18:25:21"</f>
        <v>2024-09-01T18:25:21</v>
      </c>
      <c r="AF118" t="str">
        <f>"2025-05-25T18:25:21"</f>
        <v>2025-05-25T18:25:21</v>
      </c>
      <c r="AG118" t="s">
        <v>622</v>
      </c>
      <c r="AH118" t="str">
        <f>"Sangar2010@mail.ru"</f>
        <v>Sangar2010@mail.ru</v>
      </c>
      <c r="AI118" t="s">
        <v>373</v>
      </c>
      <c r="AK118" t="s">
        <v>402</v>
      </c>
      <c r="AP118" t="s">
        <v>293</v>
      </c>
      <c r="AT118" t="s">
        <v>294</v>
      </c>
      <c r="AU118" t="s">
        <v>295</v>
      </c>
      <c r="AW118" t="s">
        <v>296</v>
      </c>
      <c r="AX118">
        <v>1</v>
      </c>
      <c r="AY118" t="s">
        <v>297</v>
      </c>
      <c r="AZ118" t="s">
        <v>298</v>
      </c>
      <c r="BA118" t="s">
        <v>299</v>
      </c>
      <c r="BF118" t="s">
        <v>294</v>
      </c>
      <c r="BG118" t="s">
        <v>300</v>
      </c>
      <c r="BI118" t="s">
        <v>298</v>
      </c>
      <c r="BR118" t="s">
        <v>289</v>
      </c>
      <c r="BS118" t="s">
        <v>301</v>
      </c>
      <c r="BT118" t="s">
        <v>302</v>
      </c>
      <c r="BU118" t="s">
        <v>303</v>
      </c>
      <c r="BV118" t="s">
        <v>304</v>
      </c>
      <c r="BX118" t="s">
        <v>324</v>
      </c>
      <c r="BY118" t="s">
        <v>298</v>
      </c>
      <c r="BZ118" t="s">
        <v>403</v>
      </c>
      <c r="CA118" t="s">
        <v>410</v>
      </c>
      <c r="CC118" t="s">
        <v>308</v>
      </c>
      <c r="CD118" t="s">
        <v>309</v>
      </c>
      <c r="CE118" t="s">
        <v>294</v>
      </c>
      <c r="CH118" t="s">
        <v>304</v>
      </c>
      <c r="CI118" t="s">
        <v>304</v>
      </c>
      <c r="CK118" t="s">
        <v>335</v>
      </c>
      <c r="CM118" t="s">
        <v>327</v>
      </c>
      <c r="CN118" t="s">
        <v>328</v>
      </c>
      <c r="CO118" t="s">
        <v>312</v>
      </c>
      <c r="CT118" t="s">
        <v>294</v>
      </c>
      <c r="CU118" t="s">
        <v>405</v>
      </c>
      <c r="CW118" t="s">
        <v>406</v>
      </c>
      <c r="CX118" t="s">
        <v>316</v>
      </c>
      <c r="CZ118" t="s">
        <v>289</v>
      </c>
      <c r="DA118" t="s">
        <v>289</v>
      </c>
      <c r="DB118" t="s">
        <v>289</v>
      </c>
      <c r="DC118" t="s">
        <v>289</v>
      </c>
      <c r="DI118" t="s">
        <v>289</v>
      </c>
      <c r="DL118" t="s">
        <v>289</v>
      </c>
      <c r="DM118" t="s">
        <v>317</v>
      </c>
      <c r="DS118" t="s">
        <v>289</v>
      </c>
      <c r="DT118" t="s">
        <v>289</v>
      </c>
      <c r="DU118" t="s">
        <v>318</v>
      </c>
      <c r="DV118" t="s">
        <v>289</v>
      </c>
      <c r="DX118" t="s">
        <v>319</v>
      </c>
      <c r="EA118" t="s">
        <v>289</v>
      </c>
    </row>
    <row r="119" spans="1:231" x14ac:dyDescent="0.25">
      <c r="A119">
        <v>18261494</v>
      </c>
      <c r="B119">
        <v>148192</v>
      </c>
      <c r="C119" t="str">
        <f>"111110501509"</f>
        <v>111110501509</v>
      </c>
      <c r="D119" t="s">
        <v>742</v>
      </c>
      <c r="E119" t="s">
        <v>743</v>
      </c>
      <c r="F119" t="s">
        <v>744</v>
      </c>
      <c r="G119" s="1">
        <v>40857</v>
      </c>
      <c r="I119" t="s">
        <v>353</v>
      </c>
      <c r="J119" t="s">
        <v>287</v>
      </c>
      <c r="K119" t="s">
        <v>288</v>
      </c>
      <c r="Q119" t="s">
        <v>289</v>
      </c>
      <c r="R119" t="str">
        <f>"КАЗАХСТАН, АКМОЛИНСКАЯ, КОКШЕТАУ, 13, 77"</f>
        <v>КАЗАХСТАН, АКМОЛИНСКАЯ, КОКШЕТАУ, 13, 77</v>
      </c>
      <c r="S119" t="str">
        <f>"ҚАЗАҚСТАН, АҚМОЛА, КӨКШЕТАУ, 13, 77"</f>
        <v>ҚАЗАҚСТАН, АҚМОЛА, КӨКШЕТАУ, 13, 77</v>
      </c>
      <c r="T119" t="str">
        <f>"13, 77"</f>
        <v>13, 77</v>
      </c>
      <c r="U119" t="str">
        <f>"13, 77"</f>
        <v>13, 77</v>
      </c>
      <c r="AC119" t="str">
        <f>"2020-11-21T00:00:00"</f>
        <v>2020-11-21T00:00:00</v>
      </c>
      <c r="AD119" t="str">
        <f>"13"</f>
        <v>13</v>
      </c>
      <c r="AE119" t="str">
        <f>"2024-09-01T22:46:10"</f>
        <v>2024-09-01T22:46:10</v>
      </c>
      <c r="AF119" t="str">
        <f>"2025-05-25T22:46:10"</f>
        <v>2025-05-25T22:46:10</v>
      </c>
      <c r="AG119" t="s">
        <v>622</v>
      </c>
      <c r="AI119" t="s">
        <v>291</v>
      </c>
      <c r="AK119" t="s">
        <v>292</v>
      </c>
      <c r="AP119" t="s">
        <v>293</v>
      </c>
      <c r="AT119" t="s">
        <v>294</v>
      </c>
      <c r="AU119" t="s">
        <v>295</v>
      </c>
      <c r="AW119" t="s">
        <v>296</v>
      </c>
      <c r="AX119">
        <v>2</v>
      </c>
      <c r="AY119" t="s">
        <v>297</v>
      </c>
      <c r="AZ119" t="s">
        <v>298</v>
      </c>
      <c r="BA119" t="s">
        <v>299</v>
      </c>
      <c r="BF119" t="s">
        <v>294</v>
      </c>
      <c r="BG119" t="s">
        <v>300</v>
      </c>
      <c r="BI119" t="s">
        <v>298</v>
      </c>
      <c r="BR119" t="s">
        <v>289</v>
      </c>
      <c r="BS119" t="s">
        <v>301</v>
      </c>
      <c r="BT119" t="s">
        <v>302</v>
      </c>
      <c r="BU119" t="s">
        <v>303</v>
      </c>
      <c r="BV119" t="s">
        <v>304</v>
      </c>
      <c r="BX119" t="s">
        <v>324</v>
      </c>
      <c r="BY119" t="s">
        <v>298</v>
      </c>
      <c r="BZ119" t="s">
        <v>306</v>
      </c>
      <c r="CA119" t="s">
        <v>649</v>
      </c>
      <c r="CC119" t="s">
        <v>308</v>
      </c>
      <c r="CD119" t="s">
        <v>309</v>
      </c>
      <c r="CE119" t="s">
        <v>294</v>
      </c>
      <c r="CH119" t="s">
        <v>304</v>
      </c>
      <c r="CI119" t="s">
        <v>304</v>
      </c>
      <c r="CK119" t="s">
        <v>335</v>
      </c>
      <c r="CM119" t="s">
        <v>631</v>
      </c>
      <c r="CN119" t="s">
        <v>487</v>
      </c>
      <c r="CO119" t="s">
        <v>312</v>
      </c>
      <c r="CT119" t="s">
        <v>294</v>
      </c>
      <c r="CU119" t="s">
        <v>313</v>
      </c>
      <c r="CV119" t="s">
        <v>314</v>
      </c>
      <c r="CW119" t="s">
        <v>315</v>
      </c>
      <c r="CX119" t="s">
        <v>316</v>
      </c>
      <c r="CZ119" t="s">
        <v>289</v>
      </c>
      <c r="DA119" t="s">
        <v>289</v>
      </c>
      <c r="DB119" t="s">
        <v>289</v>
      </c>
      <c r="DC119" t="s">
        <v>289</v>
      </c>
      <c r="DI119" t="s">
        <v>289</v>
      </c>
      <c r="DL119" t="s">
        <v>289</v>
      </c>
      <c r="DM119" t="s">
        <v>317</v>
      </c>
      <c r="DS119" t="s">
        <v>289</v>
      </c>
      <c r="DT119" t="s">
        <v>289</v>
      </c>
      <c r="DU119" t="s">
        <v>318</v>
      </c>
      <c r="DV119" t="s">
        <v>289</v>
      </c>
      <c r="DX119" t="s">
        <v>319</v>
      </c>
      <c r="EA119" t="s">
        <v>289</v>
      </c>
    </row>
    <row r="120" spans="1:231" x14ac:dyDescent="0.25">
      <c r="A120">
        <v>18738685</v>
      </c>
      <c r="B120">
        <v>2369058</v>
      </c>
      <c r="C120" t="str">
        <f>"101211600416"</f>
        <v>101211600416</v>
      </c>
      <c r="D120" t="s">
        <v>745</v>
      </c>
      <c r="E120" t="s">
        <v>356</v>
      </c>
      <c r="F120" t="s">
        <v>746</v>
      </c>
      <c r="G120" s="1">
        <v>40523</v>
      </c>
      <c r="I120" t="s">
        <v>286</v>
      </c>
      <c r="J120" t="s">
        <v>287</v>
      </c>
      <c r="K120" t="s">
        <v>288</v>
      </c>
      <c r="Q120" t="s">
        <v>289</v>
      </c>
      <c r="R120" t="str">
        <f>"КАЗАХСТАН, КОСТАНАЙСКАЯ, КОСТАНАЙ, 28, 9"</f>
        <v>КАЗАХСТАН, КОСТАНАЙСКАЯ, КОСТАНАЙ, 28, 9</v>
      </c>
      <c r="S120" t="str">
        <f>"ҚАЗАҚСТАН, ҚОСТАНАЙ, ҚОСТАНАЙ, 28, 9"</f>
        <v>ҚАЗАҚСТАН, ҚОСТАНАЙ, ҚОСТАНАЙ, 28, 9</v>
      </c>
      <c r="T120" t="str">
        <f>"28, 9"</f>
        <v>28, 9</v>
      </c>
      <c r="U120" t="str">
        <f>"28, 9"</f>
        <v>28, 9</v>
      </c>
      <c r="AC120" t="str">
        <f>"2021-01-25T00:00:00"</f>
        <v>2021-01-25T00:00:00</v>
      </c>
      <c r="AD120" t="str">
        <f>"26"</f>
        <v>26</v>
      </c>
      <c r="AE120" t="str">
        <f>"2024-09-01T22:56:02"</f>
        <v>2024-09-01T22:56:02</v>
      </c>
      <c r="AF120" t="str">
        <f>"2025-05-25T22:56:02"</f>
        <v>2025-05-25T22:56:02</v>
      </c>
      <c r="AG120" t="s">
        <v>747</v>
      </c>
      <c r="AH120" t="str">
        <f>"amira@mail.ru"</f>
        <v>amira@mail.ru</v>
      </c>
      <c r="AI120" t="s">
        <v>291</v>
      </c>
      <c r="AK120" t="s">
        <v>332</v>
      </c>
      <c r="AP120" t="s">
        <v>342</v>
      </c>
      <c r="AT120" t="s">
        <v>294</v>
      </c>
      <c r="AU120" t="s">
        <v>295</v>
      </c>
      <c r="AW120" t="s">
        <v>296</v>
      </c>
      <c r="AX120">
        <v>1</v>
      </c>
      <c r="AY120" t="s">
        <v>297</v>
      </c>
      <c r="AZ120" t="s">
        <v>298</v>
      </c>
      <c r="BA120" t="s">
        <v>299</v>
      </c>
      <c r="BF120" t="s">
        <v>294</v>
      </c>
      <c r="BG120" t="s">
        <v>300</v>
      </c>
      <c r="BI120" t="s">
        <v>298</v>
      </c>
      <c r="BR120" t="s">
        <v>289</v>
      </c>
      <c r="BS120" t="s">
        <v>301</v>
      </c>
      <c r="BT120" t="s">
        <v>302</v>
      </c>
      <c r="BU120" t="s">
        <v>303</v>
      </c>
      <c r="BV120" t="s">
        <v>304</v>
      </c>
      <c r="BX120" t="s">
        <v>324</v>
      </c>
      <c r="BY120" t="s">
        <v>298</v>
      </c>
      <c r="BZ120" t="s">
        <v>380</v>
      </c>
      <c r="CA120" t="s">
        <v>585</v>
      </c>
      <c r="CC120" t="s">
        <v>308</v>
      </c>
      <c r="CD120" t="s">
        <v>309</v>
      </c>
      <c r="CE120" t="s">
        <v>294</v>
      </c>
      <c r="CK120" t="s">
        <v>327</v>
      </c>
      <c r="CL120" t="s">
        <v>328</v>
      </c>
      <c r="CM120" t="s">
        <v>327</v>
      </c>
      <c r="CN120" t="s">
        <v>328</v>
      </c>
      <c r="CO120" t="s">
        <v>748</v>
      </c>
      <c r="CP120" t="s">
        <v>749</v>
      </c>
      <c r="CQ120" t="s">
        <v>750</v>
      </c>
      <c r="CR120" t="s">
        <v>751</v>
      </c>
      <c r="CS120" t="s">
        <v>752</v>
      </c>
      <c r="CT120" t="s">
        <v>294</v>
      </c>
      <c r="CU120" t="s">
        <v>313</v>
      </c>
      <c r="CV120" t="s">
        <v>314</v>
      </c>
      <c r="CW120" t="s">
        <v>315</v>
      </c>
      <c r="CX120" t="s">
        <v>316</v>
      </c>
      <c r="CZ120" t="s">
        <v>289</v>
      </c>
      <c r="DA120" t="s">
        <v>289</v>
      </c>
      <c r="DB120" t="s">
        <v>289</v>
      </c>
      <c r="DC120" t="s">
        <v>289</v>
      </c>
      <c r="DI120" t="s">
        <v>289</v>
      </c>
      <c r="DL120" t="s">
        <v>289</v>
      </c>
      <c r="DM120" t="s">
        <v>317</v>
      </c>
      <c r="DS120" t="s">
        <v>289</v>
      </c>
      <c r="DT120" t="s">
        <v>289</v>
      </c>
      <c r="DU120" t="s">
        <v>318</v>
      </c>
      <c r="DV120" t="s">
        <v>289</v>
      </c>
      <c r="DX120" t="s">
        <v>319</v>
      </c>
      <c r="EA120" t="s">
        <v>289</v>
      </c>
    </row>
    <row r="121" spans="1:231" x14ac:dyDescent="0.25">
      <c r="A121">
        <v>19368044</v>
      </c>
      <c r="B121">
        <v>548847</v>
      </c>
      <c r="C121" t="str">
        <f>"150204502523"</f>
        <v>150204502523</v>
      </c>
      <c r="D121" t="s">
        <v>395</v>
      </c>
      <c r="E121" t="s">
        <v>499</v>
      </c>
      <c r="F121" t="s">
        <v>397</v>
      </c>
      <c r="G121" s="1">
        <v>42039</v>
      </c>
      <c r="I121" t="s">
        <v>353</v>
      </c>
      <c r="J121" t="s">
        <v>287</v>
      </c>
      <c r="K121" t="s">
        <v>288</v>
      </c>
      <c r="Q121" t="s">
        <v>289</v>
      </c>
      <c r="R121" t="str">
        <f>"КАЗАХСТАН, АКМОЛИНСКАЯ, ЗЕРЕНДИНСКИЙ РАЙОН, Зерендинский, Зеренда, 35"</f>
        <v>КАЗАХСТАН, АКМОЛИНСКАЯ, ЗЕРЕНДИНСКИЙ РАЙОН, Зерендинский, Зеренда, 35</v>
      </c>
      <c r="S121" t="str">
        <f>"ҚАЗАҚСТАН, АҚМОЛА, ЗЕРЕНДІ АУДАНЫ, Зерендинский, Зеренда, 35"</f>
        <v>ҚАЗАҚСТАН, АҚМОЛА, ЗЕРЕНДІ АУДАНЫ, Зерендинский, Зеренда, 35</v>
      </c>
      <c r="T121" t="str">
        <f>"Зерендинский, Зеренда, 35"</f>
        <v>Зерендинский, Зеренда, 35</v>
      </c>
      <c r="U121" t="str">
        <f>"Зерендинский, Зеренда, 35"</f>
        <v>Зерендинский, Зеренда, 35</v>
      </c>
      <c r="AC121" t="str">
        <f>"2021-08-26T00:00:00"</f>
        <v>2021-08-26T00:00:00</v>
      </c>
      <c r="AD121" t="str">
        <f>"59"</f>
        <v>59</v>
      </c>
      <c r="AE121" t="str">
        <f>"2024-09-01T11:27:51"</f>
        <v>2024-09-01T11:27:51</v>
      </c>
      <c r="AF121" t="str">
        <f>"2025-05-25T11:27:51"</f>
        <v>2025-05-25T11:27:51</v>
      </c>
      <c r="AG121" t="s">
        <v>290</v>
      </c>
      <c r="AI121" t="s">
        <v>291</v>
      </c>
      <c r="AK121" t="s">
        <v>703</v>
      </c>
      <c r="AP121" t="s">
        <v>293</v>
      </c>
      <c r="AT121" t="s">
        <v>294</v>
      </c>
      <c r="AU121" t="s">
        <v>295</v>
      </c>
      <c r="AW121" t="s">
        <v>296</v>
      </c>
      <c r="AX121">
        <v>2</v>
      </c>
      <c r="AY121" t="s">
        <v>297</v>
      </c>
      <c r="AZ121" t="s">
        <v>298</v>
      </c>
      <c r="BA121" t="s">
        <v>323</v>
      </c>
      <c r="BF121" t="s">
        <v>294</v>
      </c>
      <c r="BG121" t="s">
        <v>300</v>
      </c>
      <c r="BI121" t="s">
        <v>298</v>
      </c>
      <c r="BR121" t="s">
        <v>289</v>
      </c>
      <c r="BS121" t="s">
        <v>301</v>
      </c>
      <c r="BT121" t="s">
        <v>302</v>
      </c>
      <c r="BU121" t="s">
        <v>303</v>
      </c>
      <c r="BV121" t="s">
        <v>365</v>
      </c>
      <c r="BX121" t="s">
        <v>324</v>
      </c>
      <c r="BY121" t="s">
        <v>298</v>
      </c>
      <c r="BZ121" t="s">
        <v>306</v>
      </c>
      <c r="CA121" t="s">
        <v>649</v>
      </c>
      <c r="CC121" t="s">
        <v>308</v>
      </c>
      <c r="CD121" t="s">
        <v>309</v>
      </c>
      <c r="CE121" t="s">
        <v>294</v>
      </c>
      <c r="CJ121" s="2">
        <v>45566</v>
      </c>
      <c r="CK121" t="s">
        <v>497</v>
      </c>
      <c r="CL121" t="s">
        <v>328</v>
      </c>
      <c r="CM121" t="s">
        <v>706</v>
      </c>
      <c r="CN121" t="s">
        <v>328</v>
      </c>
      <c r="CO121" t="s">
        <v>312</v>
      </c>
      <c r="CT121" t="s">
        <v>294</v>
      </c>
      <c r="CU121" t="s">
        <v>313</v>
      </c>
      <c r="CV121" t="s">
        <v>314</v>
      </c>
      <c r="CW121" t="s">
        <v>315</v>
      </c>
      <c r="CX121" t="s">
        <v>316</v>
      </c>
      <c r="CZ121" t="s">
        <v>289</v>
      </c>
      <c r="DA121" t="s">
        <v>289</v>
      </c>
      <c r="DB121" t="s">
        <v>289</v>
      </c>
      <c r="DC121" t="s">
        <v>289</v>
      </c>
      <c r="DI121" t="s">
        <v>289</v>
      </c>
      <c r="DL121" t="s">
        <v>289</v>
      </c>
      <c r="DM121" t="s">
        <v>317</v>
      </c>
      <c r="DS121" t="s">
        <v>289</v>
      </c>
      <c r="DT121" t="s">
        <v>289</v>
      </c>
      <c r="DU121" t="s">
        <v>318</v>
      </c>
      <c r="DV121" t="s">
        <v>289</v>
      </c>
      <c r="DX121" t="s">
        <v>319</v>
      </c>
      <c r="EA121" t="s">
        <v>289</v>
      </c>
      <c r="HW121" t="s">
        <v>294</v>
      </c>
    </row>
    <row r="122" spans="1:231" x14ac:dyDescent="0.25">
      <c r="A122">
        <v>19463971</v>
      </c>
      <c r="B122">
        <v>548686</v>
      </c>
      <c r="C122" t="str">
        <f>"150722601736"</f>
        <v>150722601736</v>
      </c>
      <c r="D122" t="s">
        <v>753</v>
      </c>
      <c r="E122" t="s">
        <v>754</v>
      </c>
      <c r="F122" t="s">
        <v>755</v>
      </c>
      <c r="G122" s="1">
        <v>42207</v>
      </c>
      <c r="I122" t="s">
        <v>286</v>
      </c>
      <c r="J122" t="s">
        <v>287</v>
      </c>
      <c r="K122" t="s">
        <v>288</v>
      </c>
      <c r="Q122" t="s">
        <v>289</v>
      </c>
      <c r="R122" t="str">
        <f>"КАЗАХСТАН, АКМОЛИНСКАЯ, ЗЕРЕНДИНСКИЙ РАЙОН, ЗЕРЕНДА, 5, 2"</f>
        <v>КАЗАХСТАН, АКМОЛИНСКАЯ, ЗЕРЕНДИНСКИЙ РАЙОН, ЗЕРЕНДА, 5, 2</v>
      </c>
      <c r="S122" t="str">
        <f>"ҚАЗАҚСТАН, АҚМОЛА, ЗЕРЕНДІ АУДАНЫ, ЗЕРЕНДА, 5, 2"</f>
        <v>ҚАЗАҚСТАН, АҚМОЛА, ЗЕРЕНДІ АУДАНЫ, ЗЕРЕНДА, 5, 2</v>
      </c>
      <c r="T122" t="str">
        <f>"ЗЕРЕНДА, 5, 2"</f>
        <v>ЗЕРЕНДА, 5, 2</v>
      </c>
      <c r="U122" t="str">
        <f>"ЗЕРЕНДА, 5, 2"</f>
        <v>ЗЕРЕНДА, 5, 2</v>
      </c>
      <c r="AC122" t="str">
        <f>"2021-08-26T00:00:00"</f>
        <v>2021-08-26T00:00:00</v>
      </c>
      <c r="AD122" t="str">
        <f>"59"</f>
        <v>59</v>
      </c>
      <c r="AE122" t="str">
        <f>"2024-09-01T11:28:21"</f>
        <v>2024-09-01T11:28:21</v>
      </c>
      <c r="AF122" t="str">
        <f>"2025-05-25T11:28:21"</f>
        <v>2025-05-25T11:28:21</v>
      </c>
      <c r="AG122" t="s">
        <v>290</v>
      </c>
      <c r="AI122" t="s">
        <v>291</v>
      </c>
      <c r="AK122" t="s">
        <v>703</v>
      </c>
      <c r="AP122" t="s">
        <v>293</v>
      </c>
      <c r="AT122" t="s">
        <v>294</v>
      </c>
      <c r="AU122" t="s">
        <v>295</v>
      </c>
      <c r="AW122" t="s">
        <v>296</v>
      </c>
      <c r="AX122">
        <v>2</v>
      </c>
      <c r="AY122" t="s">
        <v>297</v>
      </c>
      <c r="AZ122" t="s">
        <v>298</v>
      </c>
      <c r="BA122" t="s">
        <v>323</v>
      </c>
      <c r="BF122" t="s">
        <v>294</v>
      </c>
      <c r="BG122" t="s">
        <v>300</v>
      </c>
      <c r="BI122" t="s">
        <v>298</v>
      </c>
      <c r="BR122" t="s">
        <v>289</v>
      </c>
      <c r="BS122" t="s">
        <v>301</v>
      </c>
      <c r="BT122" t="s">
        <v>302</v>
      </c>
      <c r="BU122" t="s">
        <v>303</v>
      </c>
      <c r="BV122" t="s">
        <v>365</v>
      </c>
      <c r="BX122" t="s">
        <v>324</v>
      </c>
      <c r="BY122" t="s">
        <v>298</v>
      </c>
      <c r="BZ122" t="s">
        <v>306</v>
      </c>
      <c r="CA122" t="s">
        <v>325</v>
      </c>
      <c r="CC122" t="s">
        <v>308</v>
      </c>
      <c r="CD122" t="s">
        <v>309</v>
      </c>
      <c r="CE122" t="s">
        <v>294</v>
      </c>
      <c r="CJ122" s="2">
        <v>45566</v>
      </c>
      <c r="CK122" t="s">
        <v>467</v>
      </c>
      <c r="CL122" t="s">
        <v>328</v>
      </c>
      <c r="CM122" t="s">
        <v>756</v>
      </c>
      <c r="CN122" t="s">
        <v>757</v>
      </c>
      <c r="CO122" t="s">
        <v>312</v>
      </c>
      <c r="CT122" t="s">
        <v>294</v>
      </c>
      <c r="CU122" t="s">
        <v>313</v>
      </c>
      <c r="CV122" t="s">
        <v>314</v>
      </c>
      <c r="CW122" t="s">
        <v>315</v>
      </c>
      <c r="CX122" t="s">
        <v>316</v>
      </c>
      <c r="CZ122" t="s">
        <v>289</v>
      </c>
      <c r="DA122" t="s">
        <v>289</v>
      </c>
      <c r="DB122" t="s">
        <v>289</v>
      </c>
      <c r="DC122" t="s">
        <v>289</v>
      </c>
      <c r="DI122" t="s">
        <v>289</v>
      </c>
      <c r="DL122" t="s">
        <v>289</v>
      </c>
      <c r="DM122" t="s">
        <v>317</v>
      </c>
      <c r="DS122" t="s">
        <v>289</v>
      </c>
      <c r="DT122" t="s">
        <v>289</v>
      </c>
      <c r="DU122" t="s">
        <v>318</v>
      </c>
      <c r="DV122" t="s">
        <v>289</v>
      </c>
      <c r="DX122" t="s">
        <v>319</v>
      </c>
      <c r="EA122" t="s">
        <v>289</v>
      </c>
      <c r="HW122" t="s">
        <v>294</v>
      </c>
    </row>
    <row r="123" spans="1:231" x14ac:dyDescent="0.25">
      <c r="A123">
        <v>19712207</v>
      </c>
      <c r="B123">
        <v>472339</v>
      </c>
      <c r="C123" t="str">
        <f>"091008000063"</f>
        <v>091008000063</v>
      </c>
      <c r="D123" t="s">
        <v>758</v>
      </c>
      <c r="E123" t="s">
        <v>759</v>
      </c>
      <c r="G123" s="1">
        <v>40094</v>
      </c>
      <c r="I123" t="s">
        <v>353</v>
      </c>
      <c r="J123" t="s">
        <v>287</v>
      </c>
      <c r="K123" t="s">
        <v>288</v>
      </c>
      <c r="Q123" t="s">
        <v>289</v>
      </c>
      <c r="R123" t="str">
        <f>"КАЗАХСТАН, АКМОЛИНСКАЯ, ЗЕРЕНДИНСКИЙ РАЙОН, имени Канай-Би, Канай би, 8, 1"</f>
        <v>КАЗАХСТАН, АКМОЛИНСКАЯ, ЗЕРЕНДИНСКИЙ РАЙОН, имени Канай-Би, Канай би, 8, 1</v>
      </c>
      <c r="S123" t="str">
        <f>"ҚАЗАҚСТАН, АҚМОЛА, ЗЕРЕНДІ АУДАНЫ, имени Канай-Би, Канай би, 8, 1"</f>
        <v>ҚАЗАҚСТАН, АҚМОЛА, ЗЕРЕНДІ АУДАНЫ, имени Канай-Би, Канай би, 8, 1</v>
      </c>
      <c r="T123" t="str">
        <f>"имени Канай-Би, Канай би, 8, 1"</f>
        <v>имени Канай-Би, Канай би, 8, 1</v>
      </c>
      <c r="U123" t="str">
        <f>"имени Канай-Би, Канай би, 8, 1"</f>
        <v>имени Канай-Би, Канай би, 8, 1</v>
      </c>
      <c r="AC123" t="str">
        <f>"2021-07-29T00:00:00"</f>
        <v>2021-07-29T00:00:00</v>
      </c>
      <c r="AD123" t="str">
        <f>"40"</f>
        <v>40</v>
      </c>
      <c r="AE123" t="str">
        <f>"2024-09-01T18:25:58"</f>
        <v>2024-09-01T18:25:58</v>
      </c>
      <c r="AF123" t="str">
        <f>"2025-05-25T18:25:58"</f>
        <v>2025-05-25T18:25:58</v>
      </c>
      <c r="AG123" t="s">
        <v>290</v>
      </c>
      <c r="AH123" t="str">
        <f>"Edil2009@mail.ru"</f>
        <v>Edil2009@mail.ru</v>
      </c>
      <c r="AI123" t="s">
        <v>476</v>
      </c>
      <c r="AK123" t="s">
        <v>402</v>
      </c>
      <c r="AP123" t="s">
        <v>293</v>
      </c>
      <c r="AT123" t="s">
        <v>294</v>
      </c>
      <c r="AU123" t="s">
        <v>295</v>
      </c>
      <c r="AW123" t="s">
        <v>296</v>
      </c>
      <c r="AX123">
        <v>1</v>
      </c>
      <c r="AY123" t="s">
        <v>297</v>
      </c>
      <c r="AZ123" t="s">
        <v>298</v>
      </c>
      <c r="BA123" t="s">
        <v>323</v>
      </c>
      <c r="BF123" t="s">
        <v>294</v>
      </c>
      <c r="BG123" t="s">
        <v>300</v>
      </c>
      <c r="BI123" t="s">
        <v>298</v>
      </c>
      <c r="BR123" t="s">
        <v>289</v>
      </c>
      <c r="BS123" t="s">
        <v>433</v>
      </c>
      <c r="BT123" t="s">
        <v>434</v>
      </c>
      <c r="BU123" t="s">
        <v>303</v>
      </c>
      <c r="BV123" t="s">
        <v>365</v>
      </c>
      <c r="BX123" t="s">
        <v>305</v>
      </c>
      <c r="BY123" t="s">
        <v>298</v>
      </c>
      <c r="BZ123" t="s">
        <v>403</v>
      </c>
      <c r="CA123" t="s">
        <v>760</v>
      </c>
      <c r="CC123" t="s">
        <v>308</v>
      </c>
      <c r="CD123" t="s">
        <v>309</v>
      </c>
      <c r="CE123" t="s">
        <v>294</v>
      </c>
      <c r="CK123" t="s">
        <v>761</v>
      </c>
      <c r="CL123" t="s">
        <v>345</v>
      </c>
      <c r="CM123" t="s">
        <v>762</v>
      </c>
      <c r="CN123" t="s">
        <v>345</v>
      </c>
      <c r="CO123" t="s">
        <v>312</v>
      </c>
      <c r="CT123" t="s">
        <v>294</v>
      </c>
      <c r="CU123" t="s">
        <v>405</v>
      </c>
      <c r="CW123" t="s">
        <v>406</v>
      </c>
      <c r="CX123" t="s">
        <v>316</v>
      </c>
      <c r="CZ123" t="s">
        <v>289</v>
      </c>
      <c r="DA123" t="s">
        <v>289</v>
      </c>
      <c r="DB123" t="s">
        <v>289</v>
      </c>
      <c r="DC123" t="s">
        <v>289</v>
      </c>
      <c r="DI123" t="s">
        <v>289</v>
      </c>
      <c r="DL123" t="s">
        <v>289</v>
      </c>
      <c r="DM123" t="s">
        <v>317</v>
      </c>
      <c r="DS123" t="s">
        <v>289</v>
      </c>
      <c r="DT123" t="s">
        <v>289</v>
      </c>
      <c r="DU123" t="s">
        <v>318</v>
      </c>
      <c r="DV123" t="s">
        <v>289</v>
      </c>
      <c r="DX123" t="s">
        <v>368</v>
      </c>
      <c r="DY123" t="s">
        <v>472</v>
      </c>
      <c r="DZ123" t="s">
        <v>473</v>
      </c>
      <c r="EA123" t="s">
        <v>289</v>
      </c>
    </row>
    <row r="124" spans="1:231" x14ac:dyDescent="0.25">
      <c r="A124">
        <v>19978029</v>
      </c>
      <c r="B124">
        <v>81341</v>
      </c>
      <c r="C124" t="str">
        <f>"101215501261"</f>
        <v>101215501261</v>
      </c>
      <c r="D124" t="s">
        <v>763</v>
      </c>
      <c r="E124" t="s">
        <v>764</v>
      </c>
      <c r="F124" t="s">
        <v>765</v>
      </c>
      <c r="G124" s="1">
        <v>40527</v>
      </c>
      <c r="I124" t="s">
        <v>353</v>
      </c>
      <c r="J124" t="s">
        <v>287</v>
      </c>
      <c r="K124" t="s">
        <v>288</v>
      </c>
      <c r="Q124" t="s">
        <v>289</v>
      </c>
      <c r="R124" t="str">
        <f>"КАЗАХСТАН, АКМОЛИНСКАЯ, ЗЕРЕНДИНСКИЙ РАЙОН, Троицкий, Кошкарбай, 15"</f>
        <v>КАЗАХСТАН, АКМОЛИНСКАЯ, ЗЕРЕНДИНСКИЙ РАЙОН, Троицкий, Кошкарбай, 15</v>
      </c>
      <c r="S124" t="str">
        <f>"ҚАЗАҚСТАН, АҚМОЛА, ЗЕРЕНДІ АУДАНЫ, Троицкий, Кошкарбай, 15"</f>
        <v>ҚАЗАҚСТАН, АҚМОЛА, ЗЕРЕНДІ АУДАНЫ, Троицкий, Кошкарбай, 15</v>
      </c>
      <c r="T124" t="str">
        <f>"Троицкий, Кошкарбай, 15"</f>
        <v>Троицкий, Кошкарбай, 15</v>
      </c>
      <c r="U124" t="str">
        <f>"Троицкий, Кошкарбай, 15"</f>
        <v>Троицкий, Кошкарбай, 15</v>
      </c>
      <c r="AC124" t="str">
        <f>"2021-09-01T00:00:00"</f>
        <v>2021-09-01T00:00:00</v>
      </c>
      <c r="AD124" t="str">
        <f>"3"</f>
        <v>3</v>
      </c>
      <c r="AE124" t="str">
        <f>"2024-09-01T22:57:01"</f>
        <v>2024-09-01T22:57:01</v>
      </c>
      <c r="AF124" t="str">
        <f>"2025-05-25T22:57:01"</f>
        <v>2025-05-25T22:57:01</v>
      </c>
      <c r="AG124" t="s">
        <v>290</v>
      </c>
      <c r="AH124" t="str">
        <f>"gulnur.shaimerden01@mail.ru"</f>
        <v>gulnur.shaimerden01@mail.ru</v>
      </c>
      <c r="AI124" t="s">
        <v>476</v>
      </c>
      <c r="AK124" t="s">
        <v>332</v>
      </c>
      <c r="AP124" t="s">
        <v>293</v>
      </c>
      <c r="AT124" t="s">
        <v>294</v>
      </c>
      <c r="AU124" t="s">
        <v>295</v>
      </c>
      <c r="AW124" t="s">
        <v>296</v>
      </c>
      <c r="AX124">
        <v>1</v>
      </c>
      <c r="AY124" t="s">
        <v>297</v>
      </c>
      <c r="AZ124" t="s">
        <v>298</v>
      </c>
      <c r="BA124" t="s">
        <v>299</v>
      </c>
      <c r="BF124" t="s">
        <v>294</v>
      </c>
      <c r="BG124" t="s">
        <v>300</v>
      </c>
      <c r="BI124" t="s">
        <v>298</v>
      </c>
      <c r="BR124" t="s">
        <v>289</v>
      </c>
      <c r="BS124" t="s">
        <v>433</v>
      </c>
      <c r="BT124" t="s">
        <v>434</v>
      </c>
      <c r="BU124" t="s">
        <v>303</v>
      </c>
      <c r="BV124" t="s">
        <v>304</v>
      </c>
      <c r="BX124" t="s">
        <v>305</v>
      </c>
      <c r="BY124" t="s">
        <v>298</v>
      </c>
      <c r="BZ124" t="s">
        <v>343</v>
      </c>
      <c r="CA124">
        <v>3</v>
      </c>
      <c r="CC124" t="s">
        <v>308</v>
      </c>
      <c r="CD124" t="s">
        <v>309</v>
      </c>
      <c r="CE124" t="s">
        <v>294</v>
      </c>
      <c r="CK124" t="s">
        <v>335</v>
      </c>
      <c r="CM124" t="s">
        <v>435</v>
      </c>
      <c r="CN124" t="s">
        <v>311</v>
      </c>
      <c r="CO124" t="s">
        <v>312</v>
      </c>
      <c r="CT124" t="s">
        <v>294</v>
      </c>
      <c r="CU124" t="s">
        <v>313</v>
      </c>
      <c r="CV124" t="s">
        <v>314</v>
      </c>
      <c r="CW124" t="s">
        <v>315</v>
      </c>
      <c r="CX124" t="s">
        <v>316</v>
      </c>
      <c r="CZ124" t="s">
        <v>289</v>
      </c>
      <c r="DA124" t="s">
        <v>289</v>
      </c>
      <c r="DB124" t="s">
        <v>289</v>
      </c>
      <c r="DC124" t="s">
        <v>289</v>
      </c>
      <c r="DI124" t="s">
        <v>289</v>
      </c>
      <c r="DL124" t="s">
        <v>289</v>
      </c>
      <c r="DM124" t="s">
        <v>317</v>
      </c>
      <c r="DS124" t="s">
        <v>289</v>
      </c>
      <c r="DT124" t="s">
        <v>289</v>
      </c>
      <c r="DU124" t="s">
        <v>318</v>
      </c>
      <c r="DV124" t="s">
        <v>289</v>
      </c>
      <c r="DX124" t="s">
        <v>319</v>
      </c>
      <c r="EA124" t="s">
        <v>289</v>
      </c>
    </row>
    <row r="125" spans="1:231" x14ac:dyDescent="0.25">
      <c r="A125">
        <v>20008776</v>
      </c>
      <c r="B125">
        <v>541895</v>
      </c>
      <c r="C125" t="str">
        <f>"110531601893"</f>
        <v>110531601893</v>
      </c>
      <c r="D125" t="s">
        <v>766</v>
      </c>
      <c r="E125" t="s">
        <v>767</v>
      </c>
      <c r="F125" t="s">
        <v>768</v>
      </c>
      <c r="G125" s="1">
        <v>40694</v>
      </c>
      <c r="I125" t="s">
        <v>286</v>
      </c>
      <c r="J125" t="s">
        <v>287</v>
      </c>
      <c r="K125" t="s">
        <v>288</v>
      </c>
      <c r="Q125" t="s">
        <v>289</v>
      </c>
      <c r="R125" t="str">
        <f>"КАЗАХСТАН, АКМОЛИНСКАЯ, ЗЕРЕНДИНСКИЙ РАЙОН, Зерендинский, Зеренда, 48"</f>
        <v>КАЗАХСТАН, АКМОЛИНСКАЯ, ЗЕРЕНДИНСКИЙ РАЙОН, Зерендинский, Зеренда, 48</v>
      </c>
      <c r="S125" t="str">
        <f>"ҚАЗАҚСТАН, АҚМОЛА, ЗЕРЕНДІ АУДАНЫ, Зерендинский, Зеренда, 48"</f>
        <v>ҚАЗАҚСТАН, АҚМОЛА, ЗЕРЕНДІ АУДАНЫ, Зерендинский, Зеренда, 48</v>
      </c>
      <c r="T125" t="str">
        <f>"Зерендинский, Зеренда, 48"</f>
        <v>Зерендинский, Зеренда, 48</v>
      </c>
      <c r="U125" t="str">
        <f>"Зерендинский, Зеренда, 48"</f>
        <v>Зерендинский, Зеренда, 48</v>
      </c>
      <c r="AC125" t="str">
        <f>"2021-06-18T00:00:00"</f>
        <v>2021-06-18T00:00:00</v>
      </c>
      <c r="AD125" t="str">
        <f>"33"</f>
        <v>33</v>
      </c>
      <c r="AE125" t="str">
        <f>"2024-09-01T22:46:13"</f>
        <v>2024-09-01T22:46:13</v>
      </c>
      <c r="AF125" t="str">
        <f>"2025-05-25T22:46:13"</f>
        <v>2025-05-25T22:46:13</v>
      </c>
      <c r="AG125" t="s">
        <v>290</v>
      </c>
      <c r="AI125" t="s">
        <v>373</v>
      </c>
      <c r="AK125" t="s">
        <v>292</v>
      </c>
      <c r="AP125" t="s">
        <v>342</v>
      </c>
      <c r="AT125" t="s">
        <v>294</v>
      </c>
      <c r="AU125" t="s">
        <v>295</v>
      </c>
      <c r="AW125" t="s">
        <v>296</v>
      </c>
      <c r="AX125">
        <v>2</v>
      </c>
      <c r="AY125" t="s">
        <v>297</v>
      </c>
      <c r="AZ125" t="s">
        <v>298</v>
      </c>
      <c r="BA125" t="s">
        <v>323</v>
      </c>
      <c r="BF125" t="s">
        <v>294</v>
      </c>
      <c r="BG125" t="s">
        <v>300</v>
      </c>
      <c r="BI125" t="s">
        <v>298</v>
      </c>
      <c r="BR125" t="s">
        <v>289</v>
      </c>
      <c r="BS125" t="s">
        <v>301</v>
      </c>
      <c r="BT125" t="s">
        <v>302</v>
      </c>
      <c r="BU125" t="s">
        <v>303</v>
      </c>
      <c r="BV125" t="s">
        <v>304</v>
      </c>
      <c r="BX125" t="s">
        <v>392</v>
      </c>
      <c r="BY125" t="s">
        <v>298</v>
      </c>
      <c r="BZ125" t="s">
        <v>306</v>
      </c>
      <c r="CA125" t="s">
        <v>393</v>
      </c>
      <c r="CC125" t="s">
        <v>308</v>
      </c>
      <c r="CD125" t="s">
        <v>309</v>
      </c>
      <c r="CE125" t="s">
        <v>294</v>
      </c>
      <c r="CK125" t="s">
        <v>426</v>
      </c>
      <c r="CL125" t="s">
        <v>311</v>
      </c>
      <c r="CM125" t="s">
        <v>327</v>
      </c>
      <c r="CN125" t="s">
        <v>328</v>
      </c>
      <c r="CO125" t="s">
        <v>312</v>
      </c>
      <c r="CT125" t="s">
        <v>294</v>
      </c>
      <c r="CU125" t="s">
        <v>313</v>
      </c>
      <c r="CV125" t="s">
        <v>314</v>
      </c>
      <c r="CW125" t="s">
        <v>315</v>
      </c>
      <c r="CX125" t="s">
        <v>316</v>
      </c>
      <c r="CZ125" t="s">
        <v>289</v>
      </c>
      <c r="DA125" t="s">
        <v>289</v>
      </c>
      <c r="DB125" t="s">
        <v>289</v>
      </c>
      <c r="DC125" t="s">
        <v>289</v>
      </c>
      <c r="DI125" t="s">
        <v>289</v>
      </c>
      <c r="DL125" t="s">
        <v>289</v>
      </c>
      <c r="DM125" t="s">
        <v>317</v>
      </c>
      <c r="DS125" t="s">
        <v>289</v>
      </c>
      <c r="DT125" t="s">
        <v>289</v>
      </c>
      <c r="DU125" t="s">
        <v>318</v>
      </c>
      <c r="DV125" t="s">
        <v>289</v>
      </c>
      <c r="DX125" t="s">
        <v>319</v>
      </c>
      <c r="EA125" t="s">
        <v>289</v>
      </c>
    </row>
    <row r="126" spans="1:231" x14ac:dyDescent="0.25">
      <c r="A126">
        <v>20012607</v>
      </c>
      <c r="B126">
        <v>11680595</v>
      </c>
      <c r="C126" t="str">
        <f>"150401602560"</f>
        <v>150401602560</v>
      </c>
      <c r="D126" t="s">
        <v>769</v>
      </c>
      <c r="E126" t="s">
        <v>770</v>
      </c>
      <c r="F126" t="s">
        <v>771</v>
      </c>
      <c r="G126" s="1">
        <v>42095</v>
      </c>
      <c r="I126" t="s">
        <v>286</v>
      </c>
      <c r="J126" t="s">
        <v>287</v>
      </c>
      <c r="K126" t="s">
        <v>288</v>
      </c>
      <c r="Q126" t="s">
        <v>289</v>
      </c>
      <c r="R126" t="str">
        <f>"КАЗАХСТАН, АКМОЛИНСКАЯ, ЗЕРЕНДИНСКИЙ РАЙОН, Викторовский, Викторовка, 24, 2"</f>
        <v>КАЗАХСТАН, АКМОЛИНСКАЯ, ЗЕРЕНДИНСКИЙ РАЙОН, Викторовский, Викторовка, 24, 2</v>
      </c>
      <c r="S126" t="str">
        <f>"ҚАЗАҚСТАН, АҚМОЛА, ЗЕРЕНДІ АУДАНЫ, Викторовский, Викторовка, 24, 2"</f>
        <v>ҚАЗАҚСТАН, АҚМОЛА, ЗЕРЕНДІ АУДАНЫ, Викторовский, Викторовка, 24, 2</v>
      </c>
      <c r="T126" t="str">
        <f>"Викторовский, Викторовка, 24, 2"</f>
        <v>Викторовский, Викторовка, 24, 2</v>
      </c>
      <c r="U126" t="str">
        <f>"Викторовский, Викторовка, 24, 2"</f>
        <v>Викторовский, Викторовка, 24, 2</v>
      </c>
      <c r="AC126" t="str">
        <f>"2021-08-26T00:00:00"</f>
        <v>2021-08-26T00:00:00</v>
      </c>
      <c r="AD126" t="str">
        <f>"59"</f>
        <v>59</v>
      </c>
      <c r="AE126" t="str">
        <f>"2024-09-01T11:57:42"</f>
        <v>2024-09-01T11:57:42</v>
      </c>
      <c r="AF126" t="str">
        <f>"2025-05-25T11:57:42"</f>
        <v>2025-05-25T11:57:42</v>
      </c>
      <c r="AG126" t="s">
        <v>290</v>
      </c>
      <c r="AI126" t="s">
        <v>476</v>
      </c>
      <c r="AK126" t="s">
        <v>703</v>
      </c>
      <c r="AP126" t="s">
        <v>293</v>
      </c>
      <c r="AQ126" t="s">
        <v>289</v>
      </c>
      <c r="AT126" t="s">
        <v>294</v>
      </c>
      <c r="AU126" t="s">
        <v>295</v>
      </c>
      <c r="AW126" t="s">
        <v>296</v>
      </c>
      <c r="AX126">
        <v>2</v>
      </c>
      <c r="AY126" t="s">
        <v>297</v>
      </c>
      <c r="AZ126" t="s">
        <v>298</v>
      </c>
      <c r="BA126" t="s">
        <v>323</v>
      </c>
      <c r="BF126" t="s">
        <v>294</v>
      </c>
      <c r="BG126" t="s">
        <v>300</v>
      </c>
      <c r="BI126" t="s">
        <v>298</v>
      </c>
      <c r="BR126" t="s">
        <v>289</v>
      </c>
      <c r="BS126" t="s">
        <v>301</v>
      </c>
      <c r="BT126" t="s">
        <v>302</v>
      </c>
      <c r="BU126" t="s">
        <v>303</v>
      </c>
      <c r="BV126" t="s">
        <v>365</v>
      </c>
      <c r="BX126" t="s">
        <v>305</v>
      </c>
      <c r="BY126" t="s">
        <v>298</v>
      </c>
      <c r="BZ126" t="s">
        <v>306</v>
      </c>
      <c r="CA126" t="s">
        <v>307</v>
      </c>
      <c r="CC126" t="s">
        <v>308</v>
      </c>
      <c r="CD126" t="s">
        <v>309</v>
      </c>
      <c r="CE126" t="s">
        <v>294</v>
      </c>
      <c r="CJ126" s="2">
        <v>45566</v>
      </c>
      <c r="CK126" t="s">
        <v>772</v>
      </c>
      <c r="CL126" t="s">
        <v>328</v>
      </c>
      <c r="CM126" t="s">
        <v>706</v>
      </c>
      <c r="CN126" t="s">
        <v>328</v>
      </c>
      <c r="CO126" t="s">
        <v>312</v>
      </c>
      <c r="CT126" t="s">
        <v>294</v>
      </c>
      <c r="CU126" t="s">
        <v>313</v>
      </c>
      <c r="CV126" t="s">
        <v>314</v>
      </c>
      <c r="CW126" t="s">
        <v>315</v>
      </c>
      <c r="CX126" t="s">
        <v>316</v>
      </c>
      <c r="CZ126" t="s">
        <v>289</v>
      </c>
      <c r="DA126" t="s">
        <v>289</v>
      </c>
      <c r="DB126" t="s">
        <v>289</v>
      </c>
      <c r="DC126" t="s">
        <v>289</v>
      </c>
      <c r="DI126" t="s">
        <v>289</v>
      </c>
      <c r="DL126" t="s">
        <v>773</v>
      </c>
      <c r="DM126" t="s">
        <v>774</v>
      </c>
      <c r="DN126" t="s">
        <v>304</v>
      </c>
      <c r="DS126" t="s">
        <v>289</v>
      </c>
      <c r="DT126" t="s">
        <v>289</v>
      </c>
      <c r="DU126" t="s">
        <v>318</v>
      </c>
      <c r="DV126" t="s">
        <v>289</v>
      </c>
      <c r="DX126" t="s">
        <v>319</v>
      </c>
      <c r="EA126" t="s">
        <v>289</v>
      </c>
    </row>
    <row r="127" spans="1:231" x14ac:dyDescent="0.25">
      <c r="A127">
        <v>20012760</v>
      </c>
      <c r="B127">
        <v>11680629</v>
      </c>
      <c r="C127" t="str">
        <f>"141218503866"</f>
        <v>141218503866</v>
      </c>
      <c r="D127" t="s">
        <v>775</v>
      </c>
      <c r="E127" t="s">
        <v>776</v>
      </c>
      <c r="F127" t="s">
        <v>777</v>
      </c>
      <c r="G127" s="1">
        <v>41991</v>
      </c>
      <c r="I127" t="s">
        <v>353</v>
      </c>
      <c r="J127" t="s">
        <v>287</v>
      </c>
      <c r="K127" t="s">
        <v>778</v>
      </c>
      <c r="Q127" t="s">
        <v>289</v>
      </c>
      <c r="R127" t="str">
        <f>"КАЗАХСТАН, АКМОЛИНСКАЯ, ЗЕРЕНДИНСКИЙ РАЙОН, ОКТЯБРЬ"</f>
        <v>КАЗАХСТАН, АКМОЛИНСКАЯ, ЗЕРЕНДИНСКИЙ РАЙОН, ОКТЯБРЬ</v>
      </c>
      <c r="S127" t="str">
        <f>"ҚАЗАҚСТАН, АҚМОЛА, ЗЕРЕНДІ АУДАНЫ, ОКТЯБРЬ"</f>
        <v>ҚАЗАҚСТАН, АҚМОЛА, ЗЕРЕНДІ АУДАНЫ, ОКТЯБРЬ</v>
      </c>
      <c r="T127" t="str">
        <f>"ОКТЯБРЬ"</f>
        <v>ОКТЯБРЬ</v>
      </c>
      <c r="U127" t="str">
        <f>"ОКТЯБРЬ"</f>
        <v>ОКТЯБРЬ</v>
      </c>
      <c r="AC127" t="str">
        <f>"2021-08-26T00:00:00"</f>
        <v>2021-08-26T00:00:00</v>
      </c>
      <c r="AD127" t="str">
        <f>"59"</f>
        <v>59</v>
      </c>
      <c r="AE127" t="str">
        <f>"2024-09-01T11:40:46"</f>
        <v>2024-09-01T11:40:46</v>
      </c>
      <c r="AF127" t="str">
        <f>"2025-05-25T11:40:46"</f>
        <v>2025-05-25T11:40:46</v>
      </c>
      <c r="AG127" t="s">
        <v>290</v>
      </c>
      <c r="AI127" t="s">
        <v>476</v>
      </c>
      <c r="AK127" t="s">
        <v>703</v>
      </c>
      <c r="AP127" t="s">
        <v>293</v>
      </c>
      <c r="AT127" t="s">
        <v>294</v>
      </c>
      <c r="AU127" t="s">
        <v>295</v>
      </c>
      <c r="AW127" t="s">
        <v>296</v>
      </c>
      <c r="AX127">
        <v>2</v>
      </c>
      <c r="AY127" t="s">
        <v>297</v>
      </c>
      <c r="AZ127" t="s">
        <v>298</v>
      </c>
      <c r="BA127" t="s">
        <v>299</v>
      </c>
      <c r="BF127" t="s">
        <v>294</v>
      </c>
      <c r="BG127" t="s">
        <v>300</v>
      </c>
      <c r="BI127" t="s">
        <v>298</v>
      </c>
      <c r="BR127" t="s">
        <v>289</v>
      </c>
      <c r="BS127" t="s">
        <v>433</v>
      </c>
      <c r="BT127" t="s">
        <v>434</v>
      </c>
      <c r="BU127" t="s">
        <v>303</v>
      </c>
      <c r="BV127" t="s">
        <v>365</v>
      </c>
      <c r="BX127" t="s">
        <v>324</v>
      </c>
      <c r="BY127" t="s">
        <v>298</v>
      </c>
      <c r="BZ127" t="s">
        <v>306</v>
      </c>
      <c r="CA127" t="s">
        <v>393</v>
      </c>
      <c r="CC127" t="s">
        <v>308</v>
      </c>
      <c r="CD127" t="s">
        <v>309</v>
      </c>
      <c r="CE127" t="s">
        <v>294</v>
      </c>
      <c r="CH127" t="s">
        <v>317</v>
      </c>
      <c r="CI127" t="s">
        <v>317</v>
      </c>
      <c r="CJ127" s="2">
        <v>45566</v>
      </c>
      <c r="CK127" t="s">
        <v>779</v>
      </c>
      <c r="CL127" t="s">
        <v>311</v>
      </c>
      <c r="CM127" t="s">
        <v>780</v>
      </c>
      <c r="CN127" t="s">
        <v>345</v>
      </c>
      <c r="CO127" t="s">
        <v>312</v>
      </c>
      <c r="CT127" t="s">
        <v>294</v>
      </c>
      <c r="CU127" t="s">
        <v>313</v>
      </c>
      <c r="CV127" t="s">
        <v>314</v>
      </c>
      <c r="CW127" t="s">
        <v>315</v>
      </c>
      <c r="CX127" t="s">
        <v>316</v>
      </c>
      <c r="CZ127" t="s">
        <v>289</v>
      </c>
      <c r="DA127" t="s">
        <v>289</v>
      </c>
      <c r="DB127" t="s">
        <v>289</v>
      </c>
      <c r="DC127" t="s">
        <v>289</v>
      </c>
      <c r="DI127" t="s">
        <v>289</v>
      </c>
      <c r="DL127" t="s">
        <v>289</v>
      </c>
      <c r="DM127" t="s">
        <v>317</v>
      </c>
      <c r="DS127" t="s">
        <v>289</v>
      </c>
      <c r="DT127" t="s">
        <v>289</v>
      </c>
      <c r="DU127" t="s">
        <v>318</v>
      </c>
      <c r="DV127" t="s">
        <v>289</v>
      </c>
      <c r="DX127" t="s">
        <v>368</v>
      </c>
      <c r="DY127" t="s">
        <v>472</v>
      </c>
      <c r="DZ127" t="s">
        <v>473</v>
      </c>
      <c r="EA127" t="s">
        <v>294</v>
      </c>
    </row>
    <row r="128" spans="1:231" x14ac:dyDescent="0.25">
      <c r="A128">
        <v>20221378</v>
      </c>
      <c r="B128">
        <v>147851</v>
      </c>
      <c r="C128" t="str">
        <f>"111004504726"</f>
        <v>111004504726</v>
      </c>
      <c r="D128" t="s">
        <v>427</v>
      </c>
      <c r="E128" t="s">
        <v>781</v>
      </c>
      <c r="F128" t="s">
        <v>372</v>
      </c>
      <c r="G128" s="1">
        <v>40820</v>
      </c>
      <c r="I128" t="s">
        <v>353</v>
      </c>
      <c r="J128" t="s">
        <v>287</v>
      </c>
      <c r="K128" t="s">
        <v>288</v>
      </c>
      <c r="Q128" t="s">
        <v>289</v>
      </c>
      <c r="R128" t="str">
        <f>"КАЗАХСТАН, АКМОЛИНСКАЯ, ЗЕРЕНДИНСКИЙ РАЙОН, КАРСАК, 26"</f>
        <v>КАЗАХСТАН, АКМОЛИНСКАЯ, ЗЕРЕНДИНСКИЙ РАЙОН, КАРСАК, 26</v>
      </c>
      <c r="S128" t="str">
        <f>"ҚАЗАҚСТАН, АҚМОЛА, ЗЕРЕНДІ АУДАНЫ, КАРСАК, 26"</f>
        <v>ҚАЗАҚСТАН, АҚМОЛА, ЗЕРЕНДІ АУДАНЫ, КАРСАК, 26</v>
      </c>
      <c r="T128" t="str">
        <f>"КАРСАК, 26"</f>
        <v>КАРСАК, 26</v>
      </c>
      <c r="U128" t="str">
        <f>"КАРСАК, 26"</f>
        <v>КАРСАК, 26</v>
      </c>
      <c r="AC128" t="str">
        <f>"2021-08-18T00:00:00"</f>
        <v>2021-08-18T00:00:00</v>
      </c>
      <c r="AD128" t="str">
        <f>"50"</f>
        <v>50</v>
      </c>
      <c r="AE128" t="str">
        <f>"2024-09-01T14:43:06"</f>
        <v>2024-09-01T14:43:06</v>
      </c>
      <c r="AF128" t="str">
        <f>"2025-05-25T14:43:06"</f>
        <v>2025-05-25T14:43:06</v>
      </c>
      <c r="AG128" t="s">
        <v>290</v>
      </c>
      <c r="AI128" t="s">
        <v>476</v>
      </c>
      <c r="AK128" t="s">
        <v>292</v>
      </c>
      <c r="AP128" t="s">
        <v>293</v>
      </c>
      <c r="AT128" t="s">
        <v>294</v>
      </c>
      <c r="AU128" t="s">
        <v>295</v>
      </c>
      <c r="AW128" t="s">
        <v>296</v>
      </c>
      <c r="AX128">
        <v>2</v>
      </c>
      <c r="AY128" t="s">
        <v>297</v>
      </c>
      <c r="AZ128" t="s">
        <v>298</v>
      </c>
      <c r="BA128" t="s">
        <v>323</v>
      </c>
      <c r="BF128" t="s">
        <v>294</v>
      </c>
      <c r="BG128" t="s">
        <v>300</v>
      </c>
      <c r="BI128" t="s">
        <v>298</v>
      </c>
      <c r="BR128" t="s">
        <v>289</v>
      </c>
      <c r="BS128" t="s">
        <v>433</v>
      </c>
      <c r="BT128" t="s">
        <v>434</v>
      </c>
      <c r="BU128" t="s">
        <v>303</v>
      </c>
      <c r="BV128" t="s">
        <v>365</v>
      </c>
      <c r="BX128" t="s">
        <v>324</v>
      </c>
      <c r="BY128" t="s">
        <v>298</v>
      </c>
      <c r="BZ128" t="s">
        <v>306</v>
      </c>
      <c r="CA128" t="s">
        <v>325</v>
      </c>
      <c r="CC128" t="s">
        <v>308</v>
      </c>
      <c r="CD128" t="s">
        <v>309</v>
      </c>
      <c r="CE128" t="s">
        <v>294</v>
      </c>
      <c r="CK128" t="s">
        <v>335</v>
      </c>
      <c r="CM128" t="s">
        <v>782</v>
      </c>
      <c r="CN128" t="s">
        <v>783</v>
      </c>
      <c r="CO128" t="s">
        <v>312</v>
      </c>
      <c r="CT128" t="s">
        <v>294</v>
      </c>
      <c r="CU128" t="s">
        <v>313</v>
      </c>
      <c r="CV128" t="s">
        <v>314</v>
      </c>
      <c r="CW128" t="s">
        <v>315</v>
      </c>
      <c r="CX128" t="s">
        <v>316</v>
      </c>
      <c r="CZ128" t="s">
        <v>289</v>
      </c>
      <c r="DA128" t="s">
        <v>289</v>
      </c>
      <c r="DB128" t="s">
        <v>289</v>
      </c>
      <c r="DC128" t="s">
        <v>289</v>
      </c>
      <c r="DI128" t="s">
        <v>289</v>
      </c>
      <c r="DL128" t="s">
        <v>289</v>
      </c>
      <c r="DM128" t="s">
        <v>317</v>
      </c>
      <c r="DN128" t="s">
        <v>304</v>
      </c>
      <c r="DS128" t="s">
        <v>289</v>
      </c>
      <c r="DT128" t="s">
        <v>289</v>
      </c>
      <c r="DU128" t="s">
        <v>318</v>
      </c>
      <c r="DV128" t="s">
        <v>289</v>
      </c>
      <c r="DX128" t="s">
        <v>368</v>
      </c>
      <c r="DY128" t="s">
        <v>472</v>
      </c>
      <c r="DZ128" t="s">
        <v>473</v>
      </c>
      <c r="EA128" t="s">
        <v>294</v>
      </c>
    </row>
    <row r="129" spans="1:231" x14ac:dyDescent="0.25">
      <c r="A129">
        <v>20322789</v>
      </c>
      <c r="B129">
        <v>956841</v>
      </c>
      <c r="C129" t="str">
        <f>"160404500157"</f>
        <v>160404500157</v>
      </c>
      <c r="D129" t="s">
        <v>766</v>
      </c>
      <c r="E129" t="s">
        <v>784</v>
      </c>
      <c r="F129" t="s">
        <v>785</v>
      </c>
      <c r="G129" s="1">
        <v>42464</v>
      </c>
      <c r="I129" t="s">
        <v>353</v>
      </c>
      <c r="J129" t="s">
        <v>287</v>
      </c>
      <c r="K129" t="s">
        <v>288</v>
      </c>
      <c r="Q129" t="s">
        <v>289</v>
      </c>
      <c r="R129" t="str">
        <f>"КАЗАХСТАН, АКМОЛИНСКАЯ, ЗЕРЕНДИНСКИЙ РАЙОН, Зерендинский, Зеренда, 48"</f>
        <v>КАЗАХСТАН, АКМОЛИНСКАЯ, ЗЕРЕНДИНСКИЙ РАЙОН, Зерендинский, Зеренда, 48</v>
      </c>
      <c r="S129" t="str">
        <f>"ҚАЗАҚСТАН, АҚМОЛА, ЗЕРЕНДІ АУДАНЫ, Зерендинский, Зеренда, 48"</f>
        <v>ҚАЗАҚСТАН, АҚМОЛА, ЗЕРЕНДІ АУДАНЫ, Зерендинский, Зеренда, 48</v>
      </c>
      <c r="T129" t="str">
        <f>"Зерендинский, Зеренда, 48"</f>
        <v>Зерендинский, Зеренда, 48</v>
      </c>
      <c r="U129" t="str">
        <f>"Зерендинский, Зеренда, 48"</f>
        <v>Зерендинский, Зеренда, 48</v>
      </c>
      <c r="AC129" t="str">
        <f>"2021-09-01T00:00:00"</f>
        <v>2021-09-01T00:00:00</v>
      </c>
      <c r="AD129" t="str">
        <f>"1"</f>
        <v>1</v>
      </c>
      <c r="AE129" t="str">
        <f>"2024-09-01T10:57:25"</f>
        <v>2024-09-01T10:57:25</v>
      </c>
      <c r="AF129" t="str">
        <f>"2025-05-25T10:57:25"</f>
        <v>2025-05-25T10:57:25</v>
      </c>
      <c r="AG129" t="s">
        <v>290</v>
      </c>
      <c r="AI129" t="s">
        <v>373</v>
      </c>
      <c r="AK129" t="s">
        <v>786</v>
      </c>
      <c r="AP129" t="s">
        <v>293</v>
      </c>
      <c r="AT129" t="s">
        <v>294</v>
      </c>
      <c r="AU129" t="s">
        <v>295</v>
      </c>
      <c r="AW129" t="s">
        <v>296</v>
      </c>
      <c r="AX129">
        <v>2</v>
      </c>
      <c r="AY129" t="s">
        <v>297</v>
      </c>
      <c r="AZ129" t="s">
        <v>298</v>
      </c>
      <c r="BA129" t="s">
        <v>299</v>
      </c>
      <c r="BF129" t="s">
        <v>294</v>
      </c>
      <c r="BG129" t="s">
        <v>300</v>
      </c>
      <c r="BI129" t="s">
        <v>298</v>
      </c>
      <c r="BR129" t="s">
        <v>289</v>
      </c>
      <c r="BS129" t="s">
        <v>301</v>
      </c>
      <c r="BT129" t="s">
        <v>302</v>
      </c>
      <c r="BU129" t="s">
        <v>303</v>
      </c>
      <c r="BV129" t="s">
        <v>365</v>
      </c>
      <c r="BX129" t="s">
        <v>324</v>
      </c>
      <c r="BY129" t="s">
        <v>298</v>
      </c>
      <c r="BZ129" t="s">
        <v>306</v>
      </c>
      <c r="CA129" t="s">
        <v>649</v>
      </c>
      <c r="CC129" t="s">
        <v>308</v>
      </c>
      <c r="CD129" t="s">
        <v>309</v>
      </c>
      <c r="CE129" t="s">
        <v>289</v>
      </c>
      <c r="CJ129">
        <v>0</v>
      </c>
      <c r="CK129" t="s">
        <v>335</v>
      </c>
      <c r="CM129" t="s">
        <v>493</v>
      </c>
      <c r="CN129" t="s">
        <v>328</v>
      </c>
      <c r="CO129" t="s">
        <v>312</v>
      </c>
      <c r="CT129" t="s">
        <v>294</v>
      </c>
      <c r="CU129" t="s">
        <v>313</v>
      </c>
      <c r="CV129" t="s">
        <v>314</v>
      </c>
      <c r="CW129" t="s">
        <v>315</v>
      </c>
      <c r="CX129" t="s">
        <v>316</v>
      </c>
      <c r="CZ129" t="s">
        <v>289</v>
      </c>
      <c r="DA129" t="s">
        <v>289</v>
      </c>
      <c r="DB129" t="s">
        <v>289</v>
      </c>
      <c r="DC129" t="s">
        <v>289</v>
      </c>
      <c r="DI129" t="s">
        <v>289</v>
      </c>
      <c r="DL129" t="s">
        <v>289</v>
      </c>
      <c r="DM129" t="s">
        <v>376</v>
      </c>
      <c r="DN129" t="s">
        <v>304</v>
      </c>
      <c r="DS129" t="s">
        <v>289</v>
      </c>
      <c r="DT129" t="s">
        <v>289</v>
      </c>
      <c r="DU129" t="s">
        <v>318</v>
      </c>
      <c r="DV129" t="s">
        <v>289</v>
      </c>
      <c r="DX129" t="s">
        <v>319</v>
      </c>
      <c r="EA129" t="s">
        <v>289</v>
      </c>
    </row>
    <row r="130" spans="1:231" x14ac:dyDescent="0.25">
      <c r="A130">
        <v>20322922</v>
      </c>
      <c r="B130">
        <v>957042</v>
      </c>
      <c r="C130" t="str">
        <f>"160314601313"</f>
        <v>160314601313</v>
      </c>
      <c r="D130" t="s">
        <v>787</v>
      </c>
      <c r="E130" t="s">
        <v>788</v>
      </c>
      <c r="F130" t="s">
        <v>789</v>
      </c>
      <c r="G130" s="1">
        <v>42443</v>
      </c>
      <c r="I130" t="s">
        <v>286</v>
      </c>
      <c r="J130" t="s">
        <v>287</v>
      </c>
      <c r="K130" t="s">
        <v>288</v>
      </c>
      <c r="Q130" t="s">
        <v>289</v>
      </c>
      <c r="R130" t="str">
        <f>"КАЗАХСТАН, АКМОЛИНСКАЯ, ЗЕРЕНДИНСКИЙ РАЙОН, Зерендинский, Зеренда, 80, 17"</f>
        <v>КАЗАХСТАН, АКМОЛИНСКАЯ, ЗЕРЕНДИНСКИЙ РАЙОН, Зерендинский, Зеренда, 80, 17</v>
      </c>
      <c r="S130" t="str">
        <f>"ҚАЗАҚСТАН, АҚМОЛА, ЗЕРЕНДІ АУДАНЫ, Зерендинский, Зеренда, 80, 17"</f>
        <v>ҚАЗАҚСТАН, АҚМОЛА, ЗЕРЕНДІ АУДАНЫ, Зерендинский, Зеренда, 80, 17</v>
      </c>
      <c r="T130" t="str">
        <f>"Зерендинский, Зеренда, 80, 17"</f>
        <v>Зерендинский, Зеренда, 80, 17</v>
      </c>
      <c r="U130" t="str">
        <f>"Зерендинский, Зеренда, 80, 17"</f>
        <v>Зерендинский, Зеренда, 80, 17</v>
      </c>
      <c r="AC130" t="str">
        <f>"2021-09-01T00:00:00"</f>
        <v>2021-09-01T00:00:00</v>
      </c>
      <c r="AD130" t="str">
        <f>"1"</f>
        <v>1</v>
      </c>
      <c r="AE130" t="str">
        <f>"2024-09-01T10:58:05"</f>
        <v>2024-09-01T10:58:05</v>
      </c>
      <c r="AF130" t="str">
        <f>"2025-05-25T10:58:05"</f>
        <v>2025-05-25T10:58:05</v>
      </c>
      <c r="AG130" t="s">
        <v>290</v>
      </c>
      <c r="AI130" t="s">
        <v>291</v>
      </c>
      <c r="AK130" t="s">
        <v>786</v>
      </c>
      <c r="AP130" t="s">
        <v>293</v>
      </c>
      <c r="AT130" t="s">
        <v>294</v>
      </c>
      <c r="AU130" t="s">
        <v>295</v>
      </c>
      <c r="AW130" t="s">
        <v>296</v>
      </c>
      <c r="AX130">
        <v>2</v>
      </c>
      <c r="AY130" t="s">
        <v>297</v>
      </c>
      <c r="AZ130" t="s">
        <v>298</v>
      </c>
      <c r="BA130" t="s">
        <v>299</v>
      </c>
      <c r="BF130" t="s">
        <v>294</v>
      </c>
      <c r="BG130" t="s">
        <v>300</v>
      </c>
      <c r="BI130" t="s">
        <v>298</v>
      </c>
      <c r="BR130" t="s">
        <v>289</v>
      </c>
      <c r="BS130" t="s">
        <v>301</v>
      </c>
      <c r="BT130" t="s">
        <v>302</v>
      </c>
      <c r="BU130" t="s">
        <v>303</v>
      </c>
      <c r="BV130" t="s">
        <v>365</v>
      </c>
      <c r="BX130" t="s">
        <v>392</v>
      </c>
      <c r="BY130" t="s">
        <v>298</v>
      </c>
      <c r="BZ130" t="s">
        <v>306</v>
      </c>
      <c r="CA130" t="s">
        <v>393</v>
      </c>
      <c r="CC130" t="s">
        <v>308</v>
      </c>
      <c r="CD130" t="s">
        <v>309</v>
      </c>
      <c r="CE130" t="s">
        <v>289</v>
      </c>
      <c r="CJ130">
        <v>0</v>
      </c>
      <c r="CK130" t="s">
        <v>467</v>
      </c>
      <c r="CL130" t="s">
        <v>328</v>
      </c>
      <c r="CM130" t="s">
        <v>664</v>
      </c>
      <c r="CN130" t="s">
        <v>367</v>
      </c>
      <c r="CO130" t="s">
        <v>312</v>
      </c>
      <c r="CT130" t="s">
        <v>294</v>
      </c>
      <c r="CU130" t="s">
        <v>313</v>
      </c>
      <c r="CV130" t="s">
        <v>314</v>
      </c>
      <c r="CW130" t="s">
        <v>315</v>
      </c>
      <c r="CX130" t="s">
        <v>316</v>
      </c>
      <c r="CZ130" t="s">
        <v>289</v>
      </c>
      <c r="DA130" t="s">
        <v>289</v>
      </c>
      <c r="DB130" t="s">
        <v>289</v>
      </c>
      <c r="DC130" t="s">
        <v>289</v>
      </c>
      <c r="DI130" t="s">
        <v>289</v>
      </c>
      <c r="DL130" t="s">
        <v>289</v>
      </c>
      <c r="DM130" t="s">
        <v>317</v>
      </c>
      <c r="DS130" t="s">
        <v>289</v>
      </c>
      <c r="DT130" t="s">
        <v>289</v>
      </c>
      <c r="DU130" t="s">
        <v>318</v>
      </c>
      <c r="DV130" t="s">
        <v>289</v>
      </c>
      <c r="DX130" t="s">
        <v>319</v>
      </c>
      <c r="EA130" t="s">
        <v>294</v>
      </c>
    </row>
    <row r="131" spans="1:231" x14ac:dyDescent="0.25">
      <c r="A131">
        <v>20323028</v>
      </c>
      <c r="B131">
        <v>550410</v>
      </c>
      <c r="C131" t="str">
        <f>"151206501291"</f>
        <v>151206501291</v>
      </c>
      <c r="D131" t="s">
        <v>790</v>
      </c>
      <c r="E131" t="s">
        <v>653</v>
      </c>
      <c r="F131" t="s">
        <v>791</v>
      </c>
      <c r="G131" s="1">
        <v>42344</v>
      </c>
      <c r="I131" t="s">
        <v>353</v>
      </c>
      <c r="J131" t="s">
        <v>287</v>
      </c>
      <c r="K131" t="s">
        <v>288</v>
      </c>
      <c r="Q131" t="s">
        <v>289</v>
      </c>
      <c r="R131" t="str">
        <f>"КАЗАХСТАН, АКМОЛИНСКАЯ, ЗЕРЕНДИНСКИЙ РАЙОН, Зерендинский, Зеренда, 81"</f>
        <v>КАЗАХСТАН, АКМОЛИНСКАЯ, ЗЕРЕНДИНСКИЙ РАЙОН, Зерендинский, Зеренда, 81</v>
      </c>
      <c r="S131" t="str">
        <f>"ҚАЗАҚСТАН, АҚМОЛА, ЗЕРЕНДІ АУДАНЫ, Зерендинский, Зеренда, 81"</f>
        <v>ҚАЗАҚСТАН, АҚМОЛА, ЗЕРЕНДІ АУДАНЫ, Зерендинский, Зеренда, 81</v>
      </c>
      <c r="T131" t="str">
        <f>"Зерендинский, Зеренда, 81"</f>
        <v>Зерендинский, Зеренда, 81</v>
      </c>
      <c r="U131" t="str">
        <f>"Зерендинский, Зеренда, 81"</f>
        <v>Зерендинский, Зеренда, 81</v>
      </c>
      <c r="AC131" t="str">
        <f>"2021-09-01T00:00:00"</f>
        <v>2021-09-01T00:00:00</v>
      </c>
      <c r="AD131" t="str">
        <f>"1"</f>
        <v>1</v>
      </c>
      <c r="AE131" t="str">
        <f>"2024-09-01T22:58:45"</f>
        <v>2024-09-01T22:58:45</v>
      </c>
      <c r="AF131" t="str">
        <f>"2025-05-25T22:58:45"</f>
        <v>2025-05-25T22:58:45</v>
      </c>
      <c r="AG131" t="s">
        <v>290</v>
      </c>
      <c r="AI131" t="s">
        <v>373</v>
      </c>
      <c r="AK131" t="s">
        <v>786</v>
      </c>
      <c r="AP131" t="s">
        <v>293</v>
      </c>
      <c r="AT131" t="s">
        <v>294</v>
      </c>
      <c r="AU131" t="s">
        <v>295</v>
      </c>
      <c r="AW131" t="s">
        <v>296</v>
      </c>
      <c r="AX131">
        <v>2</v>
      </c>
      <c r="AY131" t="s">
        <v>297</v>
      </c>
      <c r="AZ131" t="s">
        <v>298</v>
      </c>
      <c r="BA131" t="s">
        <v>299</v>
      </c>
      <c r="BF131" t="s">
        <v>294</v>
      </c>
      <c r="BG131" t="s">
        <v>300</v>
      </c>
      <c r="BI131" t="s">
        <v>298</v>
      </c>
      <c r="BR131" t="s">
        <v>289</v>
      </c>
      <c r="BS131" t="s">
        <v>301</v>
      </c>
      <c r="BT131" t="s">
        <v>302</v>
      </c>
      <c r="BU131" t="s">
        <v>303</v>
      </c>
      <c r="BV131" t="s">
        <v>365</v>
      </c>
      <c r="BX131" t="s">
        <v>305</v>
      </c>
      <c r="BY131" t="s">
        <v>298</v>
      </c>
      <c r="BZ131" t="s">
        <v>306</v>
      </c>
      <c r="CA131" t="s">
        <v>307</v>
      </c>
      <c r="CC131" t="s">
        <v>308</v>
      </c>
      <c r="CD131" t="s">
        <v>309</v>
      </c>
      <c r="CE131" t="s">
        <v>289</v>
      </c>
      <c r="CJ131">
        <v>0</v>
      </c>
      <c r="CK131" t="s">
        <v>471</v>
      </c>
      <c r="CL131" t="s">
        <v>328</v>
      </c>
      <c r="CM131" t="s">
        <v>298</v>
      </c>
      <c r="CO131" t="s">
        <v>312</v>
      </c>
      <c r="CT131" t="s">
        <v>294</v>
      </c>
      <c r="CU131" t="s">
        <v>313</v>
      </c>
      <c r="CV131" t="s">
        <v>314</v>
      </c>
      <c r="CW131" t="s">
        <v>315</v>
      </c>
      <c r="CX131" t="s">
        <v>316</v>
      </c>
      <c r="CZ131" t="s">
        <v>289</v>
      </c>
      <c r="DA131" t="s">
        <v>289</v>
      </c>
      <c r="DB131" t="s">
        <v>289</v>
      </c>
      <c r="DC131" t="s">
        <v>289</v>
      </c>
      <c r="DI131" t="s">
        <v>289</v>
      </c>
      <c r="DL131" t="s">
        <v>723</v>
      </c>
      <c r="DM131" t="s">
        <v>724</v>
      </c>
      <c r="DN131" t="s">
        <v>304</v>
      </c>
      <c r="DO131" t="str">
        <f>"ОНР 3 уровня, ЗПР №2130"</f>
        <v>ОНР 3 уровня, ЗПР №2130</v>
      </c>
      <c r="DQ131" t="str">
        <f>"2022-10-18T00:00:00"</f>
        <v>2022-10-18T00:00:00</v>
      </c>
      <c r="DS131" t="s">
        <v>289</v>
      </c>
      <c r="DT131" t="s">
        <v>289</v>
      </c>
      <c r="DU131" t="s">
        <v>318</v>
      </c>
      <c r="DV131" t="s">
        <v>289</v>
      </c>
      <c r="DX131" t="s">
        <v>319</v>
      </c>
      <c r="EA131" t="s">
        <v>289</v>
      </c>
      <c r="HW131" t="s">
        <v>294</v>
      </c>
    </row>
    <row r="132" spans="1:231" x14ac:dyDescent="0.25">
      <c r="A132">
        <v>20323198</v>
      </c>
      <c r="B132">
        <v>549962</v>
      </c>
      <c r="C132" t="str">
        <f>"151228604054"</f>
        <v>151228604054</v>
      </c>
      <c r="D132" t="s">
        <v>792</v>
      </c>
      <c r="E132" t="s">
        <v>793</v>
      </c>
      <c r="F132" t="s">
        <v>794</v>
      </c>
      <c r="G132" s="1">
        <v>42366</v>
      </c>
      <c r="I132" t="s">
        <v>286</v>
      </c>
      <c r="J132" t="s">
        <v>287</v>
      </c>
      <c r="K132" t="s">
        <v>288</v>
      </c>
      <c r="Q132" t="s">
        <v>289</v>
      </c>
      <c r="R132" t="str">
        <f>"КАЗАХСТАН, АКМОЛИНСКАЯ, ЗЕРЕНДИНСКИЙ РАЙОН, Зерендинский, Зеренда, 50, 8"</f>
        <v>КАЗАХСТАН, АКМОЛИНСКАЯ, ЗЕРЕНДИНСКИЙ РАЙОН, Зерендинский, Зеренда, 50, 8</v>
      </c>
      <c r="S132" t="str">
        <f>"ҚАЗАҚСТАН, АҚМОЛА, ЗЕРЕНДІ АУДАНЫ, Зерендинский, Зеренда, 50, 8"</f>
        <v>ҚАЗАҚСТАН, АҚМОЛА, ЗЕРЕНДІ АУДАНЫ, Зерендинский, Зеренда, 50, 8</v>
      </c>
      <c r="T132" t="str">
        <f>"Зерендинский, Зеренда, 50, 8"</f>
        <v>Зерендинский, Зеренда, 50, 8</v>
      </c>
      <c r="U132" t="str">
        <f>"Зерендинский, Зеренда, 50, 8"</f>
        <v>Зерендинский, Зеренда, 50, 8</v>
      </c>
      <c r="AC132" t="str">
        <f>"2021-09-01T00:00:00"</f>
        <v>2021-09-01T00:00:00</v>
      </c>
      <c r="AD132" t="str">
        <f>"1"</f>
        <v>1</v>
      </c>
      <c r="AE132" t="str">
        <f>"2024-09-01T12:05:53"</f>
        <v>2024-09-01T12:05:53</v>
      </c>
      <c r="AF132" t="str">
        <f>"2025-05-25T12:05:53"</f>
        <v>2025-05-25T12:05:53</v>
      </c>
      <c r="AG132" t="s">
        <v>290</v>
      </c>
      <c r="AI132" t="s">
        <v>291</v>
      </c>
      <c r="AK132" t="s">
        <v>786</v>
      </c>
      <c r="AP132" t="s">
        <v>293</v>
      </c>
      <c r="AQ132" t="s">
        <v>289</v>
      </c>
      <c r="AT132" t="s">
        <v>294</v>
      </c>
      <c r="AU132" t="s">
        <v>295</v>
      </c>
      <c r="AW132" t="s">
        <v>296</v>
      </c>
      <c r="AX132">
        <v>2</v>
      </c>
      <c r="AY132" t="s">
        <v>297</v>
      </c>
      <c r="AZ132" t="s">
        <v>298</v>
      </c>
      <c r="BA132" t="s">
        <v>323</v>
      </c>
      <c r="BF132" t="s">
        <v>294</v>
      </c>
      <c r="BG132" t="s">
        <v>300</v>
      </c>
      <c r="BI132" t="s">
        <v>298</v>
      </c>
      <c r="BR132" t="s">
        <v>289</v>
      </c>
      <c r="BS132" t="s">
        <v>301</v>
      </c>
      <c r="BT132" t="s">
        <v>302</v>
      </c>
      <c r="BU132" t="s">
        <v>303</v>
      </c>
      <c r="BV132" t="s">
        <v>365</v>
      </c>
      <c r="BX132" t="s">
        <v>324</v>
      </c>
      <c r="BY132" t="s">
        <v>298</v>
      </c>
      <c r="BZ132" t="s">
        <v>306</v>
      </c>
      <c r="CA132" t="s">
        <v>649</v>
      </c>
      <c r="CC132" t="s">
        <v>308</v>
      </c>
      <c r="CD132" t="s">
        <v>309</v>
      </c>
      <c r="CE132" t="s">
        <v>289</v>
      </c>
      <c r="CJ132">
        <v>0</v>
      </c>
      <c r="CK132" t="s">
        <v>705</v>
      </c>
      <c r="CL132" t="s">
        <v>311</v>
      </c>
      <c r="CM132" t="s">
        <v>298</v>
      </c>
      <c r="CO132" t="s">
        <v>312</v>
      </c>
      <c r="CT132" t="s">
        <v>294</v>
      </c>
      <c r="CU132" t="s">
        <v>313</v>
      </c>
      <c r="CV132" t="s">
        <v>314</v>
      </c>
      <c r="CW132" t="s">
        <v>315</v>
      </c>
      <c r="CX132" t="s">
        <v>316</v>
      </c>
      <c r="CZ132" t="s">
        <v>289</v>
      </c>
      <c r="DA132" t="s">
        <v>289</v>
      </c>
      <c r="DB132" t="s">
        <v>289</v>
      </c>
      <c r="DC132" t="s">
        <v>289</v>
      </c>
      <c r="DI132" t="s">
        <v>289</v>
      </c>
      <c r="DL132" t="s">
        <v>289</v>
      </c>
      <c r="DM132" t="s">
        <v>317</v>
      </c>
      <c r="DS132" t="s">
        <v>289</v>
      </c>
      <c r="DT132" t="s">
        <v>289</v>
      </c>
      <c r="DU132" t="s">
        <v>318</v>
      </c>
      <c r="DV132" t="s">
        <v>289</v>
      </c>
      <c r="DX132" t="s">
        <v>319</v>
      </c>
      <c r="EA132" t="s">
        <v>289</v>
      </c>
    </row>
    <row r="133" spans="1:231" x14ac:dyDescent="0.25">
      <c r="A133">
        <v>20323331</v>
      </c>
      <c r="B133">
        <v>956611</v>
      </c>
      <c r="C133" t="str">
        <f>"150916601522"</f>
        <v>150916601522</v>
      </c>
      <c r="D133" t="s">
        <v>427</v>
      </c>
      <c r="E133" t="s">
        <v>795</v>
      </c>
      <c r="F133" t="s">
        <v>429</v>
      </c>
      <c r="G133" s="1">
        <v>42263</v>
      </c>
      <c r="I133" t="s">
        <v>286</v>
      </c>
      <c r="J133" t="s">
        <v>287</v>
      </c>
      <c r="K133" t="s">
        <v>288</v>
      </c>
      <c r="Q133" t="s">
        <v>289</v>
      </c>
      <c r="R133" t="str">
        <f>"КАЗАХСТАН, АКМОЛИНСКАЯ, ЗЕРЕНДИНСКИЙ РАЙОН, Зерендинский, Зеренда, 80, 3"</f>
        <v>КАЗАХСТАН, АКМОЛИНСКАЯ, ЗЕРЕНДИНСКИЙ РАЙОН, Зерендинский, Зеренда, 80, 3</v>
      </c>
      <c r="S133" t="str">
        <f>"ҚАЗАҚСТАН, АҚМОЛА, ЗЕРЕНДІ АУДАНЫ, Зерендинский, Зеренда, 80, 3"</f>
        <v>ҚАЗАҚСТАН, АҚМОЛА, ЗЕРЕНДІ АУДАНЫ, Зерендинский, Зеренда, 80, 3</v>
      </c>
      <c r="T133" t="str">
        <f>"Зерендинский, Зеренда, 80, 3"</f>
        <v>Зерендинский, Зеренда, 80, 3</v>
      </c>
      <c r="U133" t="str">
        <f>"Зерендинский, Зеренда, 80, 3"</f>
        <v>Зерендинский, Зеренда, 80, 3</v>
      </c>
      <c r="AC133" t="str">
        <f>"2021-09-01T00:00:00"</f>
        <v>2021-09-01T00:00:00</v>
      </c>
      <c r="AD133" t="str">
        <f>"1"</f>
        <v>1</v>
      </c>
      <c r="AE133" t="str">
        <f>"2024-09-01T11:00:44"</f>
        <v>2024-09-01T11:00:44</v>
      </c>
      <c r="AF133" t="str">
        <f>"2025-05-25T11:00:44"</f>
        <v>2025-05-25T11:00:44</v>
      </c>
      <c r="AG133" t="s">
        <v>290</v>
      </c>
      <c r="AI133" t="s">
        <v>291</v>
      </c>
      <c r="AK133" t="s">
        <v>786</v>
      </c>
      <c r="AP133" t="s">
        <v>293</v>
      </c>
      <c r="AT133" t="s">
        <v>294</v>
      </c>
      <c r="AU133" t="s">
        <v>295</v>
      </c>
      <c r="AW133" t="s">
        <v>296</v>
      </c>
      <c r="AX133">
        <v>2</v>
      </c>
      <c r="AY133" t="s">
        <v>297</v>
      </c>
      <c r="AZ133" t="s">
        <v>298</v>
      </c>
      <c r="BA133" t="s">
        <v>796</v>
      </c>
      <c r="BF133" t="s">
        <v>289</v>
      </c>
      <c r="BI133" t="s">
        <v>298</v>
      </c>
      <c r="BR133" t="s">
        <v>289</v>
      </c>
      <c r="BS133" t="s">
        <v>301</v>
      </c>
      <c r="BT133" t="s">
        <v>302</v>
      </c>
      <c r="BU133" t="s">
        <v>303</v>
      </c>
      <c r="BV133" t="s">
        <v>365</v>
      </c>
      <c r="BX133" t="s">
        <v>392</v>
      </c>
      <c r="BY133" t="s">
        <v>298</v>
      </c>
      <c r="BZ133" t="s">
        <v>306</v>
      </c>
      <c r="CA133" t="s">
        <v>393</v>
      </c>
      <c r="CC133" t="s">
        <v>308</v>
      </c>
      <c r="CD133" t="s">
        <v>309</v>
      </c>
      <c r="CE133" t="s">
        <v>289</v>
      </c>
      <c r="CJ133">
        <v>0</v>
      </c>
      <c r="CK133" t="s">
        <v>467</v>
      </c>
      <c r="CL133" t="s">
        <v>328</v>
      </c>
      <c r="CM133" t="s">
        <v>664</v>
      </c>
      <c r="CN133" t="s">
        <v>367</v>
      </c>
      <c r="CO133" t="s">
        <v>312</v>
      </c>
      <c r="CT133" t="s">
        <v>294</v>
      </c>
      <c r="CU133" t="s">
        <v>313</v>
      </c>
      <c r="CV133" t="s">
        <v>314</v>
      </c>
      <c r="CW133" t="s">
        <v>315</v>
      </c>
      <c r="CX133" t="s">
        <v>316</v>
      </c>
      <c r="CZ133" t="s">
        <v>289</v>
      </c>
      <c r="DA133" t="s">
        <v>289</v>
      </c>
      <c r="DB133" t="s">
        <v>289</v>
      </c>
      <c r="DC133" t="s">
        <v>289</v>
      </c>
      <c r="DI133" t="s">
        <v>289</v>
      </c>
      <c r="DL133" t="s">
        <v>289</v>
      </c>
      <c r="DM133" t="s">
        <v>317</v>
      </c>
      <c r="DS133" t="s">
        <v>289</v>
      </c>
      <c r="DT133" t="s">
        <v>289</v>
      </c>
      <c r="DU133" t="s">
        <v>318</v>
      </c>
      <c r="DV133" t="s">
        <v>289</v>
      </c>
      <c r="DX133" t="s">
        <v>319</v>
      </c>
      <c r="EA133" t="s">
        <v>289</v>
      </c>
    </row>
    <row r="134" spans="1:231" x14ac:dyDescent="0.25">
      <c r="A134">
        <v>20323557</v>
      </c>
      <c r="B134">
        <v>957034</v>
      </c>
      <c r="C134" t="str">
        <f>"160225502573"</f>
        <v>160225502573</v>
      </c>
      <c r="D134" t="s">
        <v>797</v>
      </c>
      <c r="E134" t="s">
        <v>692</v>
      </c>
      <c r="F134" t="s">
        <v>798</v>
      </c>
      <c r="G134" s="1">
        <v>42425</v>
      </c>
      <c r="I134" t="s">
        <v>353</v>
      </c>
      <c r="J134" t="s">
        <v>287</v>
      </c>
      <c r="K134" t="s">
        <v>288</v>
      </c>
      <c r="Q134" t="s">
        <v>289</v>
      </c>
      <c r="R134" t="str">
        <f>"КАЗАХСТАН, АКМОЛИНСКАЯ, ЗЕРЕНДИНСКИЙ РАЙОН, Зерендинский, Зеренда, 18"</f>
        <v>КАЗАХСТАН, АКМОЛИНСКАЯ, ЗЕРЕНДИНСКИЙ РАЙОН, Зерендинский, Зеренда, 18</v>
      </c>
      <c r="S134" t="str">
        <f>"ҚАЗАҚСТАН, АҚМОЛА, ЗЕРЕНДІ АУДАНЫ, Зерендинский, Зеренда, 18"</f>
        <v>ҚАЗАҚСТАН, АҚМОЛА, ЗЕРЕНДІ АУДАНЫ, Зерендинский, Зеренда, 18</v>
      </c>
      <c r="T134" t="str">
        <f>"Зерендинский, Зеренда, 18"</f>
        <v>Зерендинский, Зеренда, 18</v>
      </c>
      <c r="U134" t="str">
        <f>"Зерендинский, Зеренда, 18"</f>
        <v>Зерендинский, Зеренда, 18</v>
      </c>
      <c r="AC134" t="str">
        <f>"2021-09-01T00:00:00"</f>
        <v>2021-09-01T00:00:00</v>
      </c>
      <c r="AD134" t="str">
        <f>"1"</f>
        <v>1</v>
      </c>
      <c r="AE134" t="str">
        <f>"2024-09-01T11:01:26"</f>
        <v>2024-09-01T11:01:26</v>
      </c>
      <c r="AF134" t="str">
        <f>"2025-05-25T11:01:26"</f>
        <v>2025-05-25T11:01:26</v>
      </c>
      <c r="AG134" t="s">
        <v>290</v>
      </c>
      <c r="AI134" t="s">
        <v>291</v>
      </c>
      <c r="AK134" t="s">
        <v>786</v>
      </c>
      <c r="AP134" t="s">
        <v>293</v>
      </c>
      <c r="AT134" t="s">
        <v>294</v>
      </c>
      <c r="AU134" t="s">
        <v>295</v>
      </c>
      <c r="AW134" t="s">
        <v>296</v>
      </c>
      <c r="AX134">
        <v>2</v>
      </c>
      <c r="AY134" t="s">
        <v>297</v>
      </c>
      <c r="AZ134" t="s">
        <v>298</v>
      </c>
      <c r="BA134" t="s">
        <v>299</v>
      </c>
      <c r="BF134" t="s">
        <v>294</v>
      </c>
      <c r="BG134" t="s">
        <v>300</v>
      </c>
      <c r="BI134" t="s">
        <v>298</v>
      </c>
      <c r="BR134" t="s">
        <v>289</v>
      </c>
      <c r="BS134" t="s">
        <v>301</v>
      </c>
      <c r="BT134" t="s">
        <v>302</v>
      </c>
      <c r="BU134" t="s">
        <v>303</v>
      </c>
      <c r="BV134" t="s">
        <v>365</v>
      </c>
      <c r="BX134" t="s">
        <v>324</v>
      </c>
      <c r="BY134" t="s">
        <v>298</v>
      </c>
      <c r="BZ134" t="s">
        <v>306</v>
      </c>
      <c r="CA134" t="s">
        <v>325</v>
      </c>
      <c r="CC134" t="s">
        <v>308</v>
      </c>
      <c r="CD134" t="s">
        <v>309</v>
      </c>
      <c r="CE134" t="s">
        <v>289</v>
      </c>
      <c r="CJ134">
        <v>0</v>
      </c>
      <c r="CK134" t="s">
        <v>467</v>
      </c>
      <c r="CL134" t="s">
        <v>328</v>
      </c>
      <c r="CM134" t="s">
        <v>799</v>
      </c>
      <c r="CN134" t="s">
        <v>367</v>
      </c>
      <c r="CO134" t="s">
        <v>312</v>
      </c>
      <c r="CT134" t="s">
        <v>294</v>
      </c>
      <c r="CU134" t="s">
        <v>313</v>
      </c>
      <c r="CV134" t="s">
        <v>314</v>
      </c>
      <c r="CW134" t="s">
        <v>315</v>
      </c>
      <c r="CX134" t="s">
        <v>316</v>
      </c>
      <c r="CZ134" t="s">
        <v>289</v>
      </c>
      <c r="DA134" t="s">
        <v>289</v>
      </c>
      <c r="DB134" t="s">
        <v>289</v>
      </c>
      <c r="DC134" t="s">
        <v>289</v>
      </c>
      <c r="DI134" t="s">
        <v>289</v>
      </c>
      <c r="DL134" t="s">
        <v>289</v>
      </c>
      <c r="DM134" t="s">
        <v>800</v>
      </c>
      <c r="DS134" t="s">
        <v>289</v>
      </c>
      <c r="DT134" t="s">
        <v>289</v>
      </c>
      <c r="DU134" t="s">
        <v>318</v>
      </c>
      <c r="DV134" t="s">
        <v>289</v>
      </c>
      <c r="DX134" t="s">
        <v>319</v>
      </c>
      <c r="EA134" t="s">
        <v>289</v>
      </c>
    </row>
    <row r="135" spans="1:231" x14ac:dyDescent="0.25">
      <c r="A135">
        <v>20323779</v>
      </c>
      <c r="B135">
        <v>639420</v>
      </c>
      <c r="C135" t="str">
        <f>"160316501103"</f>
        <v>160316501103</v>
      </c>
      <c r="D135" t="s">
        <v>801</v>
      </c>
      <c r="E135" t="s">
        <v>390</v>
      </c>
      <c r="F135" t="s">
        <v>802</v>
      </c>
      <c r="G135" s="1">
        <v>42445</v>
      </c>
      <c r="I135" t="s">
        <v>353</v>
      </c>
      <c r="J135" t="s">
        <v>287</v>
      </c>
      <c r="K135" t="s">
        <v>288</v>
      </c>
      <c r="Q135" t="s">
        <v>289</v>
      </c>
      <c r="R135" t="str">
        <f>"КАЗАХСТАН, АКМОЛИНСКАЯ, ЗЕРЕНДИНСКИЙ РАЙОН, Зерендинский, Зеренда, 34"</f>
        <v>КАЗАХСТАН, АКМОЛИНСКАЯ, ЗЕРЕНДИНСКИЙ РАЙОН, Зерендинский, Зеренда, 34</v>
      </c>
      <c r="S135" t="str">
        <f>"ҚАЗАҚСТАН, АҚМОЛА, ЗЕРЕНДІ АУДАНЫ, Зерендинский, Зеренда, 34"</f>
        <v>ҚАЗАҚСТАН, АҚМОЛА, ЗЕРЕНДІ АУДАНЫ, Зерендинский, Зеренда, 34</v>
      </c>
      <c r="T135" t="str">
        <f>"Зерендинский, Зеренда, 34"</f>
        <v>Зерендинский, Зеренда, 34</v>
      </c>
      <c r="U135" t="str">
        <f>"Зерендинский, Зеренда, 34"</f>
        <v>Зерендинский, Зеренда, 34</v>
      </c>
      <c r="AC135" t="str">
        <f>"2021-09-01T00:00:00"</f>
        <v>2021-09-01T00:00:00</v>
      </c>
      <c r="AD135" t="str">
        <f>"1"</f>
        <v>1</v>
      </c>
      <c r="AE135" t="str">
        <f>"2024-09-01T11:02:20"</f>
        <v>2024-09-01T11:02:20</v>
      </c>
      <c r="AF135" t="str">
        <f>"2025-05-25T11:02:20"</f>
        <v>2025-05-25T11:02:20</v>
      </c>
      <c r="AG135" t="s">
        <v>290</v>
      </c>
      <c r="AI135" t="s">
        <v>291</v>
      </c>
      <c r="AK135" t="s">
        <v>786</v>
      </c>
      <c r="AP135" t="s">
        <v>293</v>
      </c>
      <c r="AT135" t="s">
        <v>294</v>
      </c>
      <c r="AU135" t="s">
        <v>295</v>
      </c>
      <c r="AW135" t="s">
        <v>296</v>
      </c>
      <c r="AX135">
        <v>2</v>
      </c>
      <c r="AY135" t="s">
        <v>297</v>
      </c>
      <c r="AZ135" t="s">
        <v>298</v>
      </c>
      <c r="BA135" t="s">
        <v>299</v>
      </c>
      <c r="BF135" t="s">
        <v>294</v>
      </c>
      <c r="BG135" t="s">
        <v>300</v>
      </c>
      <c r="BI135" t="s">
        <v>298</v>
      </c>
      <c r="BR135" t="s">
        <v>289</v>
      </c>
      <c r="BS135" t="s">
        <v>301</v>
      </c>
      <c r="BT135" t="s">
        <v>302</v>
      </c>
      <c r="BU135" t="s">
        <v>303</v>
      </c>
      <c r="BV135" t="s">
        <v>365</v>
      </c>
      <c r="BX135" t="s">
        <v>324</v>
      </c>
      <c r="BY135" t="s">
        <v>298</v>
      </c>
      <c r="BZ135" t="s">
        <v>306</v>
      </c>
      <c r="CA135" t="s">
        <v>325</v>
      </c>
      <c r="CC135" t="s">
        <v>308</v>
      </c>
      <c r="CD135" t="s">
        <v>309</v>
      </c>
      <c r="CE135" t="s">
        <v>289</v>
      </c>
      <c r="CJ135">
        <v>0</v>
      </c>
      <c r="CK135" t="s">
        <v>335</v>
      </c>
      <c r="CM135" t="s">
        <v>803</v>
      </c>
      <c r="CN135" t="s">
        <v>367</v>
      </c>
      <c r="CO135" t="s">
        <v>312</v>
      </c>
      <c r="CT135" t="s">
        <v>294</v>
      </c>
      <c r="CU135" t="s">
        <v>313</v>
      </c>
      <c r="CV135" t="s">
        <v>314</v>
      </c>
      <c r="CW135" t="s">
        <v>315</v>
      </c>
      <c r="CX135" t="s">
        <v>316</v>
      </c>
      <c r="CZ135" t="s">
        <v>289</v>
      </c>
      <c r="DA135" t="s">
        <v>289</v>
      </c>
      <c r="DB135" t="s">
        <v>289</v>
      </c>
      <c r="DC135" t="s">
        <v>289</v>
      </c>
      <c r="DI135" t="s">
        <v>289</v>
      </c>
      <c r="DL135" t="s">
        <v>289</v>
      </c>
      <c r="DM135" t="s">
        <v>317</v>
      </c>
      <c r="DS135" t="s">
        <v>289</v>
      </c>
      <c r="DT135" t="s">
        <v>289</v>
      </c>
      <c r="DU135" t="s">
        <v>318</v>
      </c>
      <c r="DV135" t="s">
        <v>289</v>
      </c>
      <c r="DX135" t="s">
        <v>368</v>
      </c>
      <c r="DY135" t="s">
        <v>472</v>
      </c>
      <c r="DZ135" t="s">
        <v>473</v>
      </c>
      <c r="EA135" t="s">
        <v>294</v>
      </c>
    </row>
    <row r="136" spans="1:231" x14ac:dyDescent="0.25">
      <c r="A136">
        <v>20503453</v>
      </c>
      <c r="B136">
        <v>9184672</v>
      </c>
      <c r="C136" t="str">
        <f>"160331603075"</f>
        <v>160331603075</v>
      </c>
      <c r="D136" t="s">
        <v>804</v>
      </c>
      <c r="E136" t="s">
        <v>805</v>
      </c>
      <c r="F136" t="s">
        <v>806</v>
      </c>
      <c r="G136" s="1">
        <v>42460</v>
      </c>
      <c r="I136" t="s">
        <v>286</v>
      </c>
      <c r="J136" t="s">
        <v>287</v>
      </c>
      <c r="K136" t="s">
        <v>288</v>
      </c>
      <c r="Q136" t="s">
        <v>289</v>
      </c>
      <c r="R136" t="str">
        <f>"КАЗАХСТАН, АКМОЛИНСКАЯ, ЗЕРЕНДИНСКИЙ РАЙОН, Зерендинский, Зеренда, 32, 3"</f>
        <v>КАЗАХСТАН, АКМОЛИНСКАЯ, ЗЕРЕНДИНСКИЙ РАЙОН, Зерендинский, Зеренда, 32, 3</v>
      </c>
      <c r="S136" t="str">
        <f>"ҚАЗАҚСТАН, АҚМОЛА, ЗЕРЕНДІ АУДАНЫ, Зерендинский, Зеренда, 32, 3"</f>
        <v>ҚАЗАҚСТАН, АҚМОЛА, ЗЕРЕНДІ АУДАНЫ, Зерендинский, Зеренда, 32, 3</v>
      </c>
      <c r="T136" t="str">
        <f>"Зерендинский, Зеренда, 32, 3"</f>
        <v>Зерендинский, Зеренда, 32, 3</v>
      </c>
      <c r="U136" t="str">
        <f>"Зерендинский, Зеренда, 32, 3"</f>
        <v>Зерендинский, Зеренда, 32, 3</v>
      </c>
      <c r="AC136" t="str">
        <f>"2021-09-01T00:00:00"</f>
        <v>2021-09-01T00:00:00</v>
      </c>
      <c r="AD136" t="str">
        <f>"1"</f>
        <v>1</v>
      </c>
      <c r="AE136" t="str">
        <f>"2024-09-01T12:03:47"</f>
        <v>2024-09-01T12:03:47</v>
      </c>
      <c r="AF136" t="str">
        <f>"2025-05-25T12:03:47"</f>
        <v>2025-05-25T12:03:47</v>
      </c>
      <c r="AG136" t="s">
        <v>290</v>
      </c>
      <c r="AI136" t="s">
        <v>373</v>
      </c>
      <c r="AK136" t="s">
        <v>786</v>
      </c>
      <c r="AP136" t="s">
        <v>293</v>
      </c>
      <c r="AQ136" t="s">
        <v>289</v>
      </c>
      <c r="AT136" t="s">
        <v>294</v>
      </c>
      <c r="AU136" t="s">
        <v>295</v>
      </c>
      <c r="AW136" t="s">
        <v>296</v>
      </c>
      <c r="AX136">
        <v>2</v>
      </c>
      <c r="AY136" t="s">
        <v>297</v>
      </c>
      <c r="AZ136" t="s">
        <v>298</v>
      </c>
      <c r="BA136" t="s">
        <v>299</v>
      </c>
      <c r="BF136" t="s">
        <v>294</v>
      </c>
      <c r="BG136" t="s">
        <v>300</v>
      </c>
      <c r="BI136" t="s">
        <v>298</v>
      </c>
      <c r="BR136" t="s">
        <v>289</v>
      </c>
      <c r="BS136" t="s">
        <v>301</v>
      </c>
      <c r="BT136" t="s">
        <v>302</v>
      </c>
      <c r="BU136" t="s">
        <v>303</v>
      </c>
      <c r="BV136" t="s">
        <v>365</v>
      </c>
      <c r="BX136" t="s">
        <v>324</v>
      </c>
      <c r="BY136" t="s">
        <v>298</v>
      </c>
      <c r="BZ136" t="s">
        <v>306</v>
      </c>
      <c r="CA136" t="s">
        <v>325</v>
      </c>
      <c r="CC136" t="s">
        <v>308</v>
      </c>
      <c r="CD136" t="s">
        <v>309</v>
      </c>
      <c r="CE136" t="s">
        <v>289</v>
      </c>
      <c r="CJ136">
        <v>0</v>
      </c>
      <c r="CK136" t="s">
        <v>807</v>
      </c>
      <c r="CL136" t="s">
        <v>311</v>
      </c>
      <c r="CM136" t="s">
        <v>298</v>
      </c>
      <c r="CO136" t="s">
        <v>312</v>
      </c>
      <c r="CT136" t="s">
        <v>294</v>
      </c>
      <c r="CU136" t="s">
        <v>313</v>
      </c>
      <c r="CV136" t="s">
        <v>314</v>
      </c>
      <c r="CW136" t="s">
        <v>315</v>
      </c>
      <c r="CX136" t="s">
        <v>316</v>
      </c>
      <c r="CZ136" t="s">
        <v>289</v>
      </c>
      <c r="DA136" t="s">
        <v>289</v>
      </c>
      <c r="DB136" t="s">
        <v>289</v>
      </c>
      <c r="DC136" t="s">
        <v>289</v>
      </c>
      <c r="DI136" t="s">
        <v>289</v>
      </c>
      <c r="DL136" t="s">
        <v>289</v>
      </c>
      <c r="DM136" t="s">
        <v>317</v>
      </c>
      <c r="DS136" t="s">
        <v>289</v>
      </c>
      <c r="DT136" t="s">
        <v>289</v>
      </c>
      <c r="DU136" t="s">
        <v>318</v>
      </c>
      <c r="DV136" t="s">
        <v>289</v>
      </c>
      <c r="DX136" t="s">
        <v>368</v>
      </c>
      <c r="DY136" t="s">
        <v>472</v>
      </c>
      <c r="DZ136" t="s">
        <v>473</v>
      </c>
      <c r="EA136" t="s">
        <v>294</v>
      </c>
    </row>
    <row r="137" spans="1:231" x14ac:dyDescent="0.25">
      <c r="A137">
        <v>20503603</v>
      </c>
      <c r="B137">
        <v>9032085</v>
      </c>
      <c r="C137" t="str">
        <f>"160523602487"</f>
        <v>160523602487</v>
      </c>
      <c r="D137" t="s">
        <v>808</v>
      </c>
      <c r="E137" t="s">
        <v>767</v>
      </c>
      <c r="F137" t="s">
        <v>809</v>
      </c>
      <c r="G137" s="1">
        <v>42513</v>
      </c>
      <c r="I137" t="s">
        <v>286</v>
      </c>
      <c r="J137" t="s">
        <v>287</v>
      </c>
      <c r="K137" t="s">
        <v>288</v>
      </c>
      <c r="Q137" t="s">
        <v>289</v>
      </c>
      <c r="R137" t="str">
        <f>"КАЗАХСТАН, АЛМАТЫ, МЕДЕУСКИЙ, 111/4, 3"</f>
        <v>КАЗАХСТАН, АЛМАТЫ, МЕДЕУСКИЙ, 111/4, 3</v>
      </c>
      <c r="S137" t="str">
        <f>"ҚАЗАҚСТАН, АЛМАТЫ, МЕДЕУ, 111/4, 3"</f>
        <v>ҚАЗАҚСТАН, АЛМАТЫ, МЕДЕУ, 111/4, 3</v>
      </c>
      <c r="T137" t="str">
        <f>"111/4, 3"</f>
        <v>111/4, 3</v>
      </c>
      <c r="U137" t="str">
        <f>"111/4, 3"</f>
        <v>111/4, 3</v>
      </c>
      <c r="AC137" t="str">
        <f>"2021-09-01T00:00:00"</f>
        <v>2021-09-01T00:00:00</v>
      </c>
      <c r="AD137" t="str">
        <f>"1"</f>
        <v>1</v>
      </c>
      <c r="AE137" t="str">
        <f>"2024-09-01T11:10:56"</f>
        <v>2024-09-01T11:10:56</v>
      </c>
      <c r="AF137" t="str">
        <f>"2025-05-25T11:10:56"</f>
        <v>2025-05-25T11:10:56</v>
      </c>
      <c r="AG137" t="s">
        <v>290</v>
      </c>
      <c r="AI137" t="s">
        <v>373</v>
      </c>
      <c r="AK137" t="s">
        <v>786</v>
      </c>
      <c r="AP137" t="s">
        <v>293</v>
      </c>
      <c r="AT137" t="s">
        <v>294</v>
      </c>
      <c r="AU137" t="s">
        <v>295</v>
      </c>
      <c r="AW137" t="s">
        <v>296</v>
      </c>
      <c r="AX137">
        <v>2</v>
      </c>
      <c r="AY137" t="s">
        <v>297</v>
      </c>
      <c r="AZ137" t="s">
        <v>298</v>
      </c>
      <c r="BA137" t="s">
        <v>323</v>
      </c>
      <c r="BF137" t="s">
        <v>294</v>
      </c>
      <c r="BG137" t="s">
        <v>300</v>
      </c>
      <c r="BI137" t="s">
        <v>298</v>
      </c>
      <c r="BR137" t="s">
        <v>289</v>
      </c>
      <c r="BS137" t="s">
        <v>301</v>
      </c>
      <c r="BT137" t="s">
        <v>302</v>
      </c>
      <c r="BU137" t="s">
        <v>303</v>
      </c>
      <c r="BV137" t="s">
        <v>365</v>
      </c>
      <c r="BX137" t="s">
        <v>305</v>
      </c>
      <c r="BY137" t="s">
        <v>298</v>
      </c>
      <c r="BZ137" t="s">
        <v>306</v>
      </c>
      <c r="CA137" t="s">
        <v>307</v>
      </c>
      <c r="CC137" t="s">
        <v>308</v>
      </c>
      <c r="CD137" t="s">
        <v>309</v>
      </c>
      <c r="CE137" t="s">
        <v>289</v>
      </c>
      <c r="CJ137">
        <v>0</v>
      </c>
      <c r="CK137" t="s">
        <v>335</v>
      </c>
      <c r="CM137" t="s">
        <v>664</v>
      </c>
      <c r="CN137" t="s">
        <v>367</v>
      </c>
      <c r="CO137" t="s">
        <v>312</v>
      </c>
      <c r="CT137" t="s">
        <v>294</v>
      </c>
      <c r="CU137" t="s">
        <v>313</v>
      </c>
      <c r="CV137" t="s">
        <v>314</v>
      </c>
      <c r="CW137" t="s">
        <v>315</v>
      </c>
      <c r="CX137" t="s">
        <v>316</v>
      </c>
      <c r="CZ137" t="s">
        <v>289</v>
      </c>
      <c r="DA137" t="s">
        <v>289</v>
      </c>
      <c r="DB137" t="s">
        <v>289</v>
      </c>
      <c r="DC137" t="s">
        <v>289</v>
      </c>
      <c r="DI137" t="s">
        <v>289</v>
      </c>
      <c r="DL137" t="s">
        <v>289</v>
      </c>
      <c r="DM137" t="s">
        <v>774</v>
      </c>
      <c r="DN137" t="s">
        <v>304</v>
      </c>
      <c r="DS137" t="s">
        <v>289</v>
      </c>
      <c r="DT137" t="s">
        <v>289</v>
      </c>
      <c r="DU137" t="s">
        <v>318</v>
      </c>
      <c r="DV137" t="s">
        <v>289</v>
      </c>
      <c r="DX137" t="s">
        <v>319</v>
      </c>
      <c r="EA137" t="s">
        <v>289</v>
      </c>
    </row>
    <row r="138" spans="1:231" x14ac:dyDescent="0.25">
      <c r="A138">
        <v>20545440</v>
      </c>
      <c r="B138">
        <v>8926281</v>
      </c>
      <c r="C138" t="str">
        <f>"160729604969"</f>
        <v>160729604969</v>
      </c>
      <c r="D138" t="s">
        <v>810</v>
      </c>
      <c r="E138" t="s">
        <v>811</v>
      </c>
      <c r="F138" t="s">
        <v>812</v>
      </c>
      <c r="G138" s="1">
        <v>42580</v>
      </c>
      <c r="I138" t="s">
        <v>286</v>
      </c>
      <c r="J138" t="s">
        <v>287</v>
      </c>
      <c r="K138" t="s">
        <v>288</v>
      </c>
      <c r="Q138" t="s">
        <v>289</v>
      </c>
      <c r="R138" t="str">
        <f>"КАЗАХСТАН, АКМОЛИНСКАЯ, ЗЕРЕНДИНСКИЙ РАЙОН, Зерендинский, Зеренда, 1, 2"</f>
        <v>КАЗАХСТАН, АКМОЛИНСКАЯ, ЗЕРЕНДИНСКИЙ РАЙОН, Зерендинский, Зеренда, 1, 2</v>
      </c>
      <c r="S138" t="str">
        <f>"ҚАЗАҚСТАН, АҚМОЛА, ЗЕРЕНДІ АУДАНЫ, Зерендинский, Зеренда, 1, 2"</f>
        <v>ҚАЗАҚСТАН, АҚМОЛА, ЗЕРЕНДІ АУДАНЫ, Зерендинский, Зеренда, 1, 2</v>
      </c>
      <c r="T138" t="str">
        <f>"Зерендинский, Зеренда, 1, 2"</f>
        <v>Зерендинский, Зеренда, 1, 2</v>
      </c>
      <c r="U138" t="str">
        <f>"Зерендинский, Зеренда, 1, 2"</f>
        <v>Зерендинский, Зеренда, 1, 2</v>
      </c>
      <c r="AC138" t="str">
        <f>"2021-09-01T00:00:00"</f>
        <v>2021-09-01T00:00:00</v>
      </c>
      <c r="AD138" t="str">
        <f>"1"</f>
        <v>1</v>
      </c>
      <c r="AE138" t="str">
        <f>"2024-09-01T12:03:51"</f>
        <v>2024-09-01T12:03:51</v>
      </c>
      <c r="AF138" t="str">
        <f>"2025-05-25T12:03:51"</f>
        <v>2025-05-25T12:03:51</v>
      </c>
      <c r="AG138" t="s">
        <v>290</v>
      </c>
      <c r="AI138" t="s">
        <v>373</v>
      </c>
      <c r="AK138" t="s">
        <v>786</v>
      </c>
      <c r="AP138" t="s">
        <v>293</v>
      </c>
      <c r="AQ138" t="s">
        <v>289</v>
      </c>
      <c r="AT138" t="s">
        <v>294</v>
      </c>
      <c r="AU138" t="s">
        <v>295</v>
      </c>
      <c r="AW138" t="s">
        <v>296</v>
      </c>
      <c r="AX138">
        <v>2</v>
      </c>
      <c r="AY138" t="s">
        <v>297</v>
      </c>
      <c r="AZ138" t="s">
        <v>298</v>
      </c>
      <c r="BA138" t="s">
        <v>323</v>
      </c>
      <c r="BF138" t="s">
        <v>294</v>
      </c>
      <c r="BG138" t="s">
        <v>300</v>
      </c>
      <c r="BI138" t="s">
        <v>298</v>
      </c>
      <c r="BR138" t="s">
        <v>289</v>
      </c>
      <c r="BS138" t="s">
        <v>301</v>
      </c>
      <c r="BT138" t="s">
        <v>302</v>
      </c>
      <c r="BU138" t="s">
        <v>303</v>
      </c>
      <c r="BV138" t="s">
        <v>365</v>
      </c>
      <c r="BX138" t="s">
        <v>305</v>
      </c>
      <c r="BY138" t="s">
        <v>298</v>
      </c>
      <c r="BZ138" t="s">
        <v>306</v>
      </c>
      <c r="CA138" t="s">
        <v>307</v>
      </c>
      <c r="CC138" t="s">
        <v>308</v>
      </c>
      <c r="CD138" t="s">
        <v>309</v>
      </c>
      <c r="CE138" t="s">
        <v>289</v>
      </c>
      <c r="CJ138">
        <v>0</v>
      </c>
      <c r="CK138" t="s">
        <v>807</v>
      </c>
      <c r="CL138" t="s">
        <v>311</v>
      </c>
      <c r="CM138" t="s">
        <v>813</v>
      </c>
      <c r="CN138" t="s">
        <v>814</v>
      </c>
      <c r="CO138" t="s">
        <v>312</v>
      </c>
      <c r="CT138" t="s">
        <v>294</v>
      </c>
      <c r="CU138" t="s">
        <v>313</v>
      </c>
      <c r="CV138" t="s">
        <v>314</v>
      </c>
      <c r="CW138" t="s">
        <v>315</v>
      </c>
      <c r="CX138" t="s">
        <v>316</v>
      </c>
      <c r="CZ138" t="s">
        <v>289</v>
      </c>
      <c r="DA138" t="s">
        <v>289</v>
      </c>
      <c r="DB138" t="s">
        <v>289</v>
      </c>
      <c r="DC138" t="s">
        <v>289</v>
      </c>
      <c r="DI138" t="s">
        <v>289</v>
      </c>
      <c r="DL138" t="s">
        <v>289</v>
      </c>
      <c r="DM138" t="s">
        <v>815</v>
      </c>
      <c r="DN138" t="s">
        <v>304</v>
      </c>
      <c r="DS138" t="s">
        <v>289</v>
      </c>
      <c r="DT138" t="s">
        <v>289</v>
      </c>
      <c r="DU138" t="s">
        <v>318</v>
      </c>
      <c r="DV138" t="s">
        <v>289</v>
      </c>
      <c r="DX138" t="s">
        <v>319</v>
      </c>
      <c r="EA138" t="s">
        <v>289</v>
      </c>
    </row>
    <row r="139" spans="1:231" x14ac:dyDescent="0.25">
      <c r="A139">
        <v>20800853</v>
      </c>
      <c r="B139">
        <v>9092747</v>
      </c>
      <c r="C139" t="str">
        <f>"151123603789"</f>
        <v>151123603789</v>
      </c>
      <c r="D139" t="s">
        <v>816</v>
      </c>
      <c r="E139" t="s">
        <v>817</v>
      </c>
      <c r="F139" t="s">
        <v>818</v>
      </c>
      <c r="G139" s="1">
        <v>42331</v>
      </c>
      <c r="I139" t="s">
        <v>286</v>
      </c>
      <c r="J139" t="s">
        <v>287</v>
      </c>
      <c r="K139" t="s">
        <v>288</v>
      </c>
      <c r="Q139" t="s">
        <v>289</v>
      </c>
      <c r="R139" t="str">
        <f>"КАЗАХСТАН, АКМОЛИНСКАЯ, ЗЕРЕНДИНСКИЙ РАЙОН, Зерендинский, Зеренда, 85"</f>
        <v>КАЗАХСТАН, АКМОЛИНСКАЯ, ЗЕРЕНДИНСКИЙ РАЙОН, Зерендинский, Зеренда, 85</v>
      </c>
      <c r="S139" t="str">
        <f>"ҚАЗАҚСТАН, АҚМОЛА, ЗЕРЕНДІ АУДАНЫ, Зерендинский, Зеренда, 85"</f>
        <v>ҚАЗАҚСТАН, АҚМОЛА, ЗЕРЕНДІ АУДАНЫ, Зерендинский, Зеренда, 85</v>
      </c>
      <c r="T139" t="str">
        <f>"Зерендинский, Зеренда, 85"</f>
        <v>Зерендинский, Зеренда, 85</v>
      </c>
      <c r="U139" t="str">
        <f>"Зерендинский, Зеренда, 85"</f>
        <v>Зерендинский, Зеренда, 85</v>
      </c>
      <c r="AC139" t="str">
        <f>"2021-09-10T00:00:00"</f>
        <v>2021-09-10T00:00:00</v>
      </c>
      <c r="AD139" t="str">
        <f>"7"</f>
        <v>7</v>
      </c>
      <c r="AE139" t="str">
        <f>"2024-09-01T11:58:44"</f>
        <v>2024-09-01T11:58:44</v>
      </c>
      <c r="AF139" t="str">
        <f>"2025-05-25T11:58:44"</f>
        <v>2025-05-25T11:58:44</v>
      </c>
      <c r="AG139" t="s">
        <v>290</v>
      </c>
      <c r="AI139" t="s">
        <v>373</v>
      </c>
      <c r="AK139" t="s">
        <v>703</v>
      </c>
      <c r="AP139" t="s">
        <v>293</v>
      </c>
      <c r="AQ139" t="s">
        <v>289</v>
      </c>
      <c r="AT139" t="s">
        <v>294</v>
      </c>
      <c r="AU139" t="s">
        <v>295</v>
      </c>
      <c r="AW139" t="s">
        <v>296</v>
      </c>
      <c r="AX139">
        <v>2</v>
      </c>
      <c r="AY139" t="s">
        <v>297</v>
      </c>
      <c r="AZ139" t="s">
        <v>298</v>
      </c>
      <c r="BA139" t="s">
        <v>323</v>
      </c>
      <c r="BF139" t="s">
        <v>294</v>
      </c>
      <c r="BG139" t="s">
        <v>300</v>
      </c>
      <c r="BI139" t="s">
        <v>298</v>
      </c>
      <c r="BR139" t="s">
        <v>289</v>
      </c>
      <c r="BS139" t="s">
        <v>301</v>
      </c>
      <c r="BT139" t="s">
        <v>302</v>
      </c>
      <c r="BU139" t="s">
        <v>303</v>
      </c>
      <c r="BV139" t="s">
        <v>365</v>
      </c>
      <c r="BX139" t="s">
        <v>324</v>
      </c>
      <c r="BY139" t="s">
        <v>298</v>
      </c>
      <c r="BZ139" t="s">
        <v>306</v>
      </c>
      <c r="CA139" t="s">
        <v>325</v>
      </c>
      <c r="CC139" t="s">
        <v>308</v>
      </c>
      <c r="CD139" t="s">
        <v>309</v>
      </c>
      <c r="CE139" t="s">
        <v>294</v>
      </c>
      <c r="CJ139" t="s">
        <v>819</v>
      </c>
      <c r="CK139" t="s">
        <v>772</v>
      </c>
      <c r="CL139" t="s">
        <v>328</v>
      </c>
      <c r="CM139" t="s">
        <v>820</v>
      </c>
      <c r="CN139" t="s">
        <v>311</v>
      </c>
      <c r="CO139" t="s">
        <v>312</v>
      </c>
      <c r="CT139" t="s">
        <v>294</v>
      </c>
      <c r="CU139" t="s">
        <v>313</v>
      </c>
      <c r="CV139" t="s">
        <v>314</v>
      </c>
      <c r="CW139" t="s">
        <v>315</v>
      </c>
      <c r="CX139" t="s">
        <v>316</v>
      </c>
      <c r="CZ139" t="s">
        <v>289</v>
      </c>
      <c r="DA139" t="s">
        <v>289</v>
      </c>
      <c r="DB139" t="s">
        <v>289</v>
      </c>
      <c r="DC139" t="s">
        <v>289</v>
      </c>
      <c r="DI139" t="s">
        <v>289</v>
      </c>
      <c r="DL139" t="s">
        <v>289</v>
      </c>
      <c r="DM139" t="s">
        <v>317</v>
      </c>
      <c r="DS139" t="s">
        <v>289</v>
      </c>
      <c r="DT139" t="s">
        <v>289</v>
      </c>
      <c r="DU139" t="s">
        <v>318</v>
      </c>
      <c r="DV139" t="s">
        <v>289</v>
      </c>
      <c r="DX139" t="s">
        <v>319</v>
      </c>
      <c r="EA139" t="s">
        <v>289</v>
      </c>
    </row>
    <row r="140" spans="1:231" x14ac:dyDescent="0.25">
      <c r="A140">
        <v>20800906</v>
      </c>
      <c r="B140">
        <v>9092767</v>
      </c>
      <c r="C140" t="str">
        <f>"151123603719"</f>
        <v>151123603719</v>
      </c>
      <c r="D140" t="s">
        <v>816</v>
      </c>
      <c r="E140" t="s">
        <v>821</v>
      </c>
      <c r="F140" t="s">
        <v>818</v>
      </c>
      <c r="G140" s="1">
        <v>42331</v>
      </c>
      <c r="I140" t="s">
        <v>286</v>
      </c>
      <c r="J140" t="s">
        <v>287</v>
      </c>
      <c r="K140" t="s">
        <v>288</v>
      </c>
      <c r="Q140" t="s">
        <v>289</v>
      </c>
      <c r="R140" t="str">
        <f>"КАЗАХСТАН, АКМОЛИНСКАЯ, ЗЕРЕНДИНСКИЙ РАЙОН, Зерендинский, Зеренда, 85"</f>
        <v>КАЗАХСТАН, АКМОЛИНСКАЯ, ЗЕРЕНДИНСКИЙ РАЙОН, Зерендинский, Зеренда, 85</v>
      </c>
      <c r="S140" t="str">
        <f>"ҚАЗАҚСТАН, АҚМОЛА, ЗЕРЕНДІ АУДАНЫ, Зерендинский, Зеренда, 85"</f>
        <v>ҚАЗАҚСТАН, АҚМОЛА, ЗЕРЕНДІ АУДАНЫ, Зерендинский, Зеренда, 85</v>
      </c>
      <c r="T140" t="str">
        <f>"Зерендинский, Зеренда, 85"</f>
        <v>Зерендинский, Зеренда, 85</v>
      </c>
      <c r="U140" t="str">
        <f>"Зерендинский, Зеренда, 85"</f>
        <v>Зерендинский, Зеренда, 85</v>
      </c>
      <c r="AC140" t="str">
        <f>"2021-09-10T00:00:00"</f>
        <v>2021-09-10T00:00:00</v>
      </c>
      <c r="AD140" t="str">
        <f>"7"</f>
        <v>7</v>
      </c>
      <c r="AE140" t="str">
        <f>"2024-09-01T11:58:47"</f>
        <v>2024-09-01T11:58:47</v>
      </c>
      <c r="AF140" t="str">
        <f>"2025-05-25T11:58:47"</f>
        <v>2025-05-25T11:58:47</v>
      </c>
      <c r="AG140" t="s">
        <v>290</v>
      </c>
      <c r="AI140" t="s">
        <v>373</v>
      </c>
      <c r="AK140" t="s">
        <v>703</v>
      </c>
      <c r="AP140" t="s">
        <v>293</v>
      </c>
      <c r="AQ140" t="s">
        <v>289</v>
      </c>
      <c r="AT140" t="s">
        <v>294</v>
      </c>
      <c r="AU140" t="s">
        <v>295</v>
      </c>
      <c r="AW140" t="s">
        <v>296</v>
      </c>
      <c r="AX140">
        <v>2</v>
      </c>
      <c r="AY140" t="s">
        <v>297</v>
      </c>
      <c r="AZ140" t="s">
        <v>298</v>
      </c>
      <c r="BA140" t="s">
        <v>323</v>
      </c>
      <c r="BF140" t="s">
        <v>294</v>
      </c>
      <c r="BG140" t="s">
        <v>300</v>
      </c>
      <c r="BI140" t="s">
        <v>298</v>
      </c>
      <c r="BR140" t="s">
        <v>289</v>
      </c>
      <c r="BS140" t="s">
        <v>301</v>
      </c>
      <c r="BT140" t="s">
        <v>302</v>
      </c>
      <c r="BU140" t="s">
        <v>303</v>
      </c>
      <c r="BV140" t="s">
        <v>365</v>
      </c>
      <c r="BX140" t="s">
        <v>324</v>
      </c>
      <c r="BY140" t="s">
        <v>298</v>
      </c>
      <c r="BZ140" t="s">
        <v>306</v>
      </c>
      <c r="CA140" t="s">
        <v>325</v>
      </c>
      <c r="CC140" t="s">
        <v>308</v>
      </c>
      <c r="CD140" t="s">
        <v>309</v>
      </c>
      <c r="CE140" t="s">
        <v>294</v>
      </c>
      <c r="CJ140" t="s">
        <v>819</v>
      </c>
      <c r="CK140" t="s">
        <v>772</v>
      </c>
      <c r="CL140" t="s">
        <v>328</v>
      </c>
      <c r="CM140" t="s">
        <v>820</v>
      </c>
      <c r="CN140" t="s">
        <v>311</v>
      </c>
      <c r="CO140" t="s">
        <v>312</v>
      </c>
      <c r="CT140" t="s">
        <v>294</v>
      </c>
      <c r="CU140" t="s">
        <v>313</v>
      </c>
      <c r="CV140" t="s">
        <v>314</v>
      </c>
      <c r="CW140" t="s">
        <v>315</v>
      </c>
      <c r="CX140" t="s">
        <v>316</v>
      </c>
      <c r="CZ140" t="s">
        <v>289</v>
      </c>
      <c r="DA140" t="s">
        <v>289</v>
      </c>
      <c r="DB140" t="s">
        <v>289</v>
      </c>
      <c r="DC140" t="s">
        <v>289</v>
      </c>
      <c r="DI140" t="s">
        <v>289</v>
      </c>
      <c r="DL140" t="s">
        <v>289</v>
      </c>
      <c r="DM140" t="s">
        <v>317</v>
      </c>
      <c r="DS140" t="s">
        <v>289</v>
      </c>
      <c r="DT140" t="s">
        <v>289</v>
      </c>
      <c r="DU140" t="s">
        <v>318</v>
      </c>
      <c r="DV140" t="s">
        <v>289</v>
      </c>
      <c r="DX140" t="s">
        <v>319</v>
      </c>
      <c r="EA140" t="s">
        <v>289</v>
      </c>
    </row>
    <row r="141" spans="1:231" x14ac:dyDescent="0.25">
      <c r="A141">
        <v>20948260</v>
      </c>
      <c r="B141">
        <v>9657577</v>
      </c>
      <c r="C141" t="str">
        <f>"121227000171"</f>
        <v>121227000171</v>
      </c>
      <c r="D141" t="s">
        <v>822</v>
      </c>
      <c r="E141" t="s">
        <v>823</v>
      </c>
      <c r="G141" s="1">
        <v>41270</v>
      </c>
      <c r="I141" t="s">
        <v>286</v>
      </c>
      <c r="J141" t="s">
        <v>824</v>
      </c>
      <c r="K141" t="s">
        <v>288</v>
      </c>
      <c r="L141" t="s">
        <v>289</v>
      </c>
      <c r="Q141" t="s">
        <v>289</v>
      </c>
      <c r="R141" t="str">
        <f>"КАЗАХСТАН, АКМОЛИНСКАЯ, ЗЕРЕНДИНСКИЙ РАЙОН, МАЛИКА ГАБДУЛЛИНА, 17"</f>
        <v>КАЗАХСТАН, АКМОЛИНСКАЯ, ЗЕРЕНДИНСКИЙ РАЙОН, МАЛИКА ГАБДУЛЛИНА, 17</v>
      </c>
      <c r="S141" t="str">
        <f>"ҚАЗАҚСТАН, АҚМОЛА, ЗЕРЕНДІ АУДАНЫ, МАЛИКА ГАБДУЛЛИНА, 17"</f>
        <v>ҚАЗАҚСТАН, АҚМОЛА, ЗЕРЕНДІ АУДАНЫ, МАЛИКА ГАБДУЛЛИНА, 17</v>
      </c>
      <c r="T141" t="str">
        <f>"МАЛИКА ГАБДУЛЛИНА, 17"</f>
        <v>МАЛИКА ГАБДУЛЛИНА, 17</v>
      </c>
      <c r="U141" t="str">
        <f>"МАЛИКА ГАБДУЛЛИНА, 17"</f>
        <v>МАЛИКА ГАБДУЛЛИНА, 17</v>
      </c>
      <c r="AC141" t="str">
        <f>"2021-09-17T00:00:00"</f>
        <v>2021-09-17T00:00:00</v>
      </c>
      <c r="AD141" t="str">
        <f>"11"</f>
        <v>11</v>
      </c>
      <c r="AE141" t="str">
        <f>"2024-09-01T21:35:44"</f>
        <v>2024-09-01T21:35:44</v>
      </c>
      <c r="AF141" t="str">
        <f>"2025-05-25T21:35:44"</f>
        <v>2025-05-25T21:35:44</v>
      </c>
      <c r="AG141" t="s">
        <v>290</v>
      </c>
      <c r="AI141" t="s">
        <v>476</v>
      </c>
      <c r="AK141" t="s">
        <v>465</v>
      </c>
      <c r="AP141" t="s">
        <v>293</v>
      </c>
      <c r="AT141" t="s">
        <v>294</v>
      </c>
      <c r="AU141" t="s">
        <v>295</v>
      </c>
      <c r="AW141" t="s">
        <v>296</v>
      </c>
      <c r="AX141">
        <v>2</v>
      </c>
      <c r="AY141" t="s">
        <v>297</v>
      </c>
      <c r="AZ141" t="s">
        <v>298</v>
      </c>
      <c r="BA141" t="s">
        <v>323</v>
      </c>
      <c r="BF141" t="s">
        <v>294</v>
      </c>
      <c r="BG141" t="s">
        <v>300</v>
      </c>
      <c r="BI141" t="s">
        <v>298</v>
      </c>
      <c r="BR141" t="s">
        <v>289</v>
      </c>
      <c r="BS141" t="s">
        <v>301</v>
      </c>
      <c r="BT141" t="s">
        <v>302</v>
      </c>
      <c r="BU141" t="s">
        <v>303</v>
      </c>
      <c r="BV141" t="s">
        <v>304</v>
      </c>
      <c r="BX141" t="s">
        <v>305</v>
      </c>
      <c r="BY141" t="s">
        <v>298</v>
      </c>
      <c r="BZ141" t="s">
        <v>491</v>
      </c>
      <c r="CA141" t="s">
        <v>825</v>
      </c>
      <c r="CC141" t="s">
        <v>308</v>
      </c>
      <c r="CD141" t="s">
        <v>309</v>
      </c>
      <c r="CE141" t="s">
        <v>294</v>
      </c>
      <c r="CK141" t="s">
        <v>438</v>
      </c>
      <c r="CL141" t="s">
        <v>311</v>
      </c>
      <c r="CM141" t="s">
        <v>826</v>
      </c>
      <c r="CN141" t="s">
        <v>757</v>
      </c>
      <c r="CO141" t="s">
        <v>312</v>
      </c>
      <c r="CT141" t="s">
        <v>294</v>
      </c>
      <c r="CU141" t="s">
        <v>313</v>
      </c>
      <c r="CV141" t="s">
        <v>314</v>
      </c>
      <c r="CW141" t="s">
        <v>315</v>
      </c>
      <c r="CX141" t="s">
        <v>316</v>
      </c>
      <c r="CZ141" t="s">
        <v>289</v>
      </c>
      <c r="DA141" t="s">
        <v>289</v>
      </c>
      <c r="DB141" t="s">
        <v>289</v>
      </c>
      <c r="DC141" t="s">
        <v>289</v>
      </c>
      <c r="DI141" t="s">
        <v>289</v>
      </c>
      <c r="DL141" t="s">
        <v>289</v>
      </c>
      <c r="DM141" t="s">
        <v>317</v>
      </c>
      <c r="DS141" t="s">
        <v>289</v>
      </c>
      <c r="DT141" t="s">
        <v>289</v>
      </c>
      <c r="DU141" t="s">
        <v>318</v>
      </c>
      <c r="DV141" t="s">
        <v>289</v>
      </c>
      <c r="DX141" t="s">
        <v>319</v>
      </c>
      <c r="EA141" t="s">
        <v>289</v>
      </c>
    </row>
    <row r="142" spans="1:231" x14ac:dyDescent="0.25">
      <c r="A142">
        <v>21179295</v>
      </c>
      <c r="B142">
        <v>978712</v>
      </c>
      <c r="C142" t="str">
        <f>"130921603611"</f>
        <v>130921603611</v>
      </c>
      <c r="D142" t="s">
        <v>827</v>
      </c>
      <c r="E142" t="s">
        <v>828</v>
      </c>
      <c r="F142" t="s">
        <v>829</v>
      </c>
      <c r="G142" s="1">
        <v>41538</v>
      </c>
      <c r="I142" t="s">
        <v>286</v>
      </c>
      <c r="J142" t="s">
        <v>287</v>
      </c>
      <c r="K142" t="s">
        <v>288</v>
      </c>
      <c r="Q142" t="s">
        <v>289</v>
      </c>
      <c r="R142" t="str">
        <f>"КАЗАХСТАН, АКМОЛИНСКАЯ, САНДЫКТАУСКИЙ РАЙОН, БАЛКАШИНО, 95"</f>
        <v>КАЗАХСТАН, АКМОЛИНСКАЯ, САНДЫКТАУСКИЙ РАЙОН, БАЛКАШИНО, 95</v>
      </c>
      <c r="S142" t="str">
        <f>"ҚАЗАҚСТАН, АҚМОЛА, САНДЫҚТАУ АУДАНЫ, БАЛКАШИНО, 95"</f>
        <v>ҚАЗАҚСТАН, АҚМОЛА, САНДЫҚТАУ АУДАНЫ, БАЛКАШИНО, 95</v>
      </c>
      <c r="T142" t="str">
        <f>"БАЛКАШИНО, 95"</f>
        <v>БАЛКАШИНО, 95</v>
      </c>
      <c r="U142" t="str">
        <f>"БАЛКАШИНО, 95"</f>
        <v>БАЛКАШИНО, 95</v>
      </c>
      <c r="AC142" t="str">
        <f>"2021-09-27T00:00:00"</f>
        <v>2021-09-27T00:00:00</v>
      </c>
      <c r="AD142" t="str">
        <f>"27"</f>
        <v>27</v>
      </c>
      <c r="AE142" t="str">
        <f>"2024-09-01T13:55:34"</f>
        <v>2024-09-01T13:55:34</v>
      </c>
      <c r="AF142" t="str">
        <f>"2025-05-25T13:55:34"</f>
        <v>2025-05-25T13:55:34</v>
      </c>
      <c r="AG142" t="s">
        <v>747</v>
      </c>
      <c r="AI142" t="s">
        <v>373</v>
      </c>
      <c r="AK142" t="s">
        <v>465</v>
      </c>
      <c r="AP142" t="s">
        <v>293</v>
      </c>
      <c r="AT142" t="s">
        <v>294</v>
      </c>
      <c r="AU142" t="s">
        <v>295</v>
      </c>
      <c r="AW142" t="s">
        <v>296</v>
      </c>
      <c r="AX142">
        <v>2</v>
      </c>
      <c r="AY142" t="s">
        <v>297</v>
      </c>
      <c r="AZ142" t="s">
        <v>298</v>
      </c>
      <c r="BA142" t="s">
        <v>323</v>
      </c>
      <c r="BF142" t="s">
        <v>294</v>
      </c>
      <c r="BG142" t="s">
        <v>300</v>
      </c>
      <c r="BI142" t="s">
        <v>298</v>
      </c>
      <c r="BR142" t="s">
        <v>289</v>
      </c>
      <c r="BS142" t="s">
        <v>301</v>
      </c>
      <c r="BT142" t="s">
        <v>302</v>
      </c>
      <c r="BU142" t="s">
        <v>303</v>
      </c>
      <c r="BV142" t="s">
        <v>365</v>
      </c>
      <c r="BX142" t="s">
        <v>305</v>
      </c>
      <c r="BY142" t="s">
        <v>298</v>
      </c>
      <c r="BZ142" t="s">
        <v>491</v>
      </c>
      <c r="CA142" t="s">
        <v>825</v>
      </c>
      <c r="CC142" t="s">
        <v>308</v>
      </c>
      <c r="CD142" t="s">
        <v>309</v>
      </c>
      <c r="CE142" t="s">
        <v>294</v>
      </c>
      <c r="CK142" t="s">
        <v>467</v>
      </c>
      <c r="CL142" t="s">
        <v>328</v>
      </c>
      <c r="CM142" t="s">
        <v>298</v>
      </c>
      <c r="CO142" t="s">
        <v>312</v>
      </c>
      <c r="CT142" t="s">
        <v>294</v>
      </c>
      <c r="CU142" t="s">
        <v>313</v>
      </c>
      <c r="CV142" t="s">
        <v>314</v>
      </c>
      <c r="CW142" t="s">
        <v>315</v>
      </c>
      <c r="CX142" t="s">
        <v>316</v>
      </c>
      <c r="CZ142" t="s">
        <v>289</v>
      </c>
      <c r="DA142" t="s">
        <v>289</v>
      </c>
      <c r="DB142" t="s">
        <v>289</v>
      </c>
      <c r="DC142" t="s">
        <v>289</v>
      </c>
      <c r="DI142" t="s">
        <v>289</v>
      </c>
      <c r="DL142" t="s">
        <v>289</v>
      </c>
      <c r="DM142" t="s">
        <v>317</v>
      </c>
      <c r="DS142" t="s">
        <v>289</v>
      </c>
      <c r="DT142" t="s">
        <v>289</v>
      </c>
      <c r="DU142" t="s">
        <v>318</v>
      </c>
      <c r="DV142" t="s">
        <v>289</v>
      </c>
      <c r="DX142" t="s">
        <v>368</v>
      </c>
      <c r="DY142" t="s">
        <v>472</v>
      </c>
      <c r="DZ142" t="s">
        <v>473</v>
      </c>
      <c r="EA142" t="s">
        <v>289</v>
      </c>
    </row>
    <row r="143" spans="1:231" x14ac:dyDescent="0.25">
      <c r="A143">
        <v>21179311</v>
      </c>
      <c r="B143">
        <v>5182378</v>
      </c>
      <c r="C143" t="str">
        <f>"120519602160"</f>
        <v>120519602160</v>
      </c>
      <c r="D143" t="s">
        <v>827</v>
      </c>
      <c r="E143" t="s">
        <v>830</v>
      </c>
      <c r="F143" t="s">
        <v>829</v>
      </c>
      <c r="G143" s="1">
        <v>41048</v>
      </c>
      <c r="I143" t="s">
        <v>286</v>
      </c>
      <c r="J143" t="s">
        <v>287</v>
      </c>
      <c r="K143" t="s">
        <v>288</v>
      </c>
      <c r="Q143" t="s">
        <v>289</v>
      </c>
      <c r="R143" t="str">
        <f>"КАЗАХСТАН, АКМОЛИНСКАЯ, КОКШЕТАУ, 63"</f>
        <v>КАЗАХСТАН, АКМОЛИНСКАЯ, КОКШЕТАУ, 63</v>
      </c>
      <c r="S143" t="str">
        <f>"ҚАЗАҚСТАН, АҚМОЛА, КӨКШЕТАУ, 63"</f>
        <v>ҚАЗАҚСТАН, АҚМОЛА, КӨКШЕТАУ, 63</v>
      </c>
      <c r="T143" t="str">
        <f>"63"</f>
        <v>63</v>
      </c>
      <c r="U143" t="str">
        <f>"63"</f>
        <v>63</v>
      </c>
      <c r="AC143" t="str">
        <f>"2021-09-27T00:00:00"</f>
        <v>2021-09-27T00:00:00</v>
      </c>
      <c r="AD143" t="str">
        <f>"13"</f>
        <v>13</v>
      </c>
      <c r="AE143" t="str">
        <f>"2024-09-01T14:43:39"</f>
        <v>2024-09-01T14:43:39</v>
      </c>
      <c r="AF143" t="str">
        <f>"2025-05-25T14:43:39"</f>
        <v>2025-05-25T14:43:39</v>
      </c>
      <c r="AG143" t="s">
        <v>747</v>
      </c>
      <c r="AI143" t="s">
        <v>558</v>
      </c>
      <c r="AK143" t="s">
        <v>292</v>
      </c>
      <c r="AP143" t="s">
        <v>293</v>
      </c>
      <c r="AT143" t="s">
        <v>294</v>
      </c>
      <c r="AU143" t="s">
        <v>295</v>
      </c>
      <c r="AW143" t="s">
        <v>296</v>
      </c>
      <c r="AX143">
        <v>2</v>
      </c>
      <c r="AY143" t="s">
        <v>297</v>
      </c>
      <c r="AZ143" t="s">
        <v>298</v>
      </c>
      <c r="BA143" t="s">
        <v>323</v>
      </c>
      <c r="BF143" t="s">
        <v>294</v>
      </c>
      <c r="BG143" t="s">
        <v>300</v>
      </c>
      <c r="BI143" t="s">
        <v>298</v>
      </c>
      <c r="BR143" t="s">
        <v>289</v>
      </c>
      <c r="BS143" t="s">
        <v>301</v>
      </c>
      <c r="BT143" t="s">
        <v>302</v>
      </c>
      <c r="BU143" t="s">
        <v>303</v>
      </c>
      <c r="BV143" t="s">
        <v>365</v>
      </c>
      <c r="BX143" t="s">
        <v>305</v>
      </c>
      <c r="BY143" t="s">
        <v>298</v>
      </c>
      <c r="BZ143" t="s">
        <v>306</v>
      </c>
      <c r="CA143" t="s">
        <v>307</v>
      </c>
      <c r="CC143" t="s">
        <v>308</v>
      </c>
      <c r="CD143" t="s">
        <v>309</v>
      </c>
      <c r="CE143" t="s">
        <v>294</v>
      </c>
      <c r="CK143" t="s">
        <v>326</v>
      </c>
      <c r="CL143" t="s">
        <v>311</v>
      </c>
      <c r="CM143" t="s">
        <v>298</v>
      </c>
      <c r="CO143" t="s">
        <v>312</v>
      </c>
      <c r="CT143" t="s">
        <v>294</v>
      </c>
      <c r="CU143" t="s">
        <v>313</v>
      </c>
      <c r="CV143" t="s">
        <v>314</v>
      </c>
      <c r="CW143" t="s">
        <v>315</v>
      </c>
      <c r="CX143" t="s">
        <v>316</v>
      </c>
      <c r="CZ143" t="s">
        <v>289</v>
      </c>
      <c r="DA143" t="s">
        <v>289</v>
      </c>
      <c r="DB143" t="s">
        <v>289</v>
      </c>
      <c r="DC143" t="s">
        <v>289</v>
      </c>
      <c r="DI143" t="s">
        <v>289</v>
      </c>
      <c r="DL143" t="s">
        <v>289</v>
      </c>
      <c r="DM143" t="s">
        <v>317</v>
      </c>
      <c r="DS143" t="s">
        <v>289</v>
      </c>
      <c r="DT143" t="s">
        <v>289</v>
      </c>
      <c r="DU143" t="s">
        <v>318</v>
      </c>
      <c r="DV143" t="s">
        <v>289</v>
      </c>
      <c r="DX143" t="s">
        <v>368</v>
      </c>
      <c r="DY143" t="s">
        <v>472</v>
      </c>
      <c r="DZ143" t="s">
        <v>473</v>
      </c>
      <c r="EA143" t="s">
        <v>289</v>
      </c>
    </row>
    <row r="144" spans="1:231" x14ac:dyDescent="0.25">
      <c r="A144">
        <v>21605041</v>
      </c>
      <c r="B144">
        <v>84344</v>
      </c>
      <c r="C144" t="str">
        <f>"130412500920"</f>
        <v>130412500920</v>
      </c>
      <c r="D144" t="s">
        <v>831</v>
      </c>
      <c r="E144" t="s">
        <v>351</v>
      </c>
      <c r="F144" t="s">
        <v>832</v>
      </c>
      <c r="G144" s="1">
        <v>41376</v>
      </c>
      <c r="I144" t="s">
        <v>353</v>
      </c>
      <c r="J144" t="s">
        <v>287</v>
      </c>
      <c r="K144" t="s">
        <v>288</v>
      </c>
      <c r="Q144" t="s">
        <v>289</v>
      </c>
      <c r="R144" t="str">
        <f>"КАЗАХСТАН, АКМОЛИНСКАЯ, ЗЕРЕНДИНСКИЙ РАЙОН, Троицкий, Карсак, 9, 1"</f>
        <v>КАЗАХСТАН, АКМОЛИНСКАЯ, ЗЕРЕНДИНСКИЙ РАЙОН, Троицкий, Карсак, 9, 1</v>
      </c>
      <c r="S144" t="str">
        <f>"ҚАЗАҚСТАН, АҚМОЛА, ЗЕРЕНДІ АУДАНЫ, Троицкий, Карсак, 9, 1"</f>
        <v>ҚАЗАҚСТАН, АҚМОЛА, ЗЕРЕНДІ АУДАНЫ, Троицкий, Карсак, 9, 1</v>
      </c>
      <c r="T144" t="str">
        <f>"Троицкий, Карсак, 9, 1"</f>
        <v>Троицкий, Карсак, 9, 1</v>
      </c>
      <c r="U144" t="str">
        <f>"Троицкий, Карсак, 9, 1"</f>
        <v>Троицкий, Карсак, 9, 1</v>
      </c>
      <c r="AC144" t="str">
        <f>"2021-11-29T00:00:00"</f>
        <v>2021-11-29T00:00:00</v>
      </c>
      <c r="AD144" t="str">
        <f>"21"</f>
        <v>21</v>
      </c>
      <c r="AE144" t="str">
        <f>"2024-09-01T13:59:32"</f>
        <v>2024-09-01T13:59:32</v>
      </c>
      <c r="AF144" t="str">
        <f>"2025-05-25T13:59:32"</f>
        <v>2025-05-25T13:59:32</v>
      </c>
      <c r="AG144" t="s">
        <v>622</v>
      </c>
      <c r="AI144" t="s">
        <v>558</v>
      </c>
      <c r="AK144" t="s">
        <v>465</v>
      </c>
      <c r="AP144" t="s">
        <v>293</v>
      </c>
      <c r="AT144" t="s">
        <v>294</v>
      </c>
      <c r="AU144" t="s">
        <v>295</v>
      </c>
      <c r="AW144" t="s">
        <v>296</v>
      </c>
      <c r="AX144">
        <v>2</v>
      </c>
      <c r="AY144" t="s">
        <v>297</v>
      </c>
      <c r="AZ144" t="s">
        <v>298</v>
      </c>
      <c r="BA144" t="s">
        <v>323</v>
      </c>
      <c r="BF144" t="s">
        <v>294</v>
      </c>
      <c r="BG144" t="s">
        <v>300</v>
      </c>
      <c r="BI144" t="s">
        <v>298</v>
      </c>
      <c r="BR144" t="s">
        <v>289</v>
      </c>
      <c r="BS144" t="s">
        <v>301</v>
      </c>
      <c r="BT144" t="s">
        <v>302</v>
      </c>
      <c r="BU144" t="s">
        <v>303</v>
      </c>
      <c r="BV144" t="s">
        <v>365</v>
      </c>
      <c r="BX144" t="s">
        <v>324</v>
      </c>
      <c r="BY144" t="s">
        <v>298</v>
      </c>
      <c r="BZ144" t="s">
        <v>491</v>
      </c>
      <c r="CA144" t="s">
        <v>511</v>
      </c>
      <c r="CC144" t="s">
        <v>308</v>
      </c>
      <c r="CD144" t="s">
        <v>309</v>
      </c>
      <c r="CE144" t="s">
        <v>294</v>
      </c>
      <c r="CK144" t="s">
        <v>335</v>
      </c>
      <c r="CM144" t="s">
        <v>833</v>
      </c>
      <c r="CN144" t="s">
        <v>345</v>
      </c>
      <c r="CO144" t="s">
        <v>312</v>
      </c>
      <c r="CT144" t="s">
        <v>294</v>
      </c>
      <c r="CU144" t="s">
        <v>313</v>
      </c>
      <c r="CV144" t="s">
        <v>314</v>
      </c>
      <c r="CW144" t="s">
        <v>315</v>
      </c>
      <c r="CX144" t="s">
        <v>316</v>
      </c>
      <c r="CZ144" t="s">
        <v>289</v>
      </c>
      <c r="DA144" t="s">
        <v>289</v>
      </c>
      <c r="DB144" t="s">
        <v>289</v>
      </c>
      <c r="DC144" t="s">
        <v>289</v>
      </c>
      <c r="DI144" t="s">
        <v>289</v>
      </c>
      <c r="DL144" t="s">
        <v>289</v>
      </c>
      <c r="DM144" t="s">
        <v>317</v>
      </c>
      <c r="DS144" t="s">
        <v>289</v>
      </c>
      <c r="DT144" t="s">
        <v>289</v>
      </c>
      <c r="DU144" t="s">
        <v>318</v>
      </c>
      <c r="DV144" t="s">
        <v>289</v>
      </c>
      <c r="DW144" t="s">
        <v>601</v>
      </c>
      <c r="DX144" t="s">
        <v>368</v>
      </c>
      <c r="DY144" t="s">
        <v>472</v>
      </c>
      <c r="DZ144" t="s">
        <v>473</v>
      </c>
      <c r="EA144" t="s">
        <v>289</v>
      </c>
    </row>
    <row r="145" spans="1:231" x14ac:dyDescent="0.25">
      <c r="A145">
        <v>22007045</v>
      </c>
      <c r="B145">
        <v>147696</v>
      </c>
      <c r="C145" t="str">
        <f>"110626503618"</f>
        <v>110626503618</v>
      </c>
      <c r="D145" t="s">
        <v>834</v>
      </c>
      <c r="E145" t="s">
        <v>603</v>
      </c>
      <c r="F145" t="s">
        <v>835</v>
      </c>
      <c r="G145" s="1">
        <v>40720</v>
      </c>
      <c r="I145" t="s">
        <v>286</v>
      </c>
      <c r="J145" t="s">
        <v>287</v>
      </c>
      <c r="K145" t="s">
        <v>288</v>
      </c>
      <c r="Q145" t="s">
        <v>289</v>
      </c>
      <c r="R145" t="str">
        <f>"КАЗАХСТАН, АКМОЛИНСКАЯ, ЗЕРЕНДИНСКИЙ РАЙОН, Зерендинский, Зеренда, 11"</f>
        <v>КАЗАХСТАН, АКМОЛИНСКАЯ, ЗЕРЕНДИНСКИЙ РАЙОН, Зерендинский, Зеренда, 11</v>
      </c>
      <c r="S145" t="str">
        <f>"ҚАЗАҚСТАН, АҚМОЛА, ЗЕРЕНДІ АУДАНЫ, Зерендинский, Зеренда, 11"</f>
        <v>ҚАЗАҚСТАН, АҚМОЛА, ЗЕРЕНДІ АУДАНЫ, Зерендинский, Зеренда, 11</v>
      </c>
      <c r="T145" t="str">
        <f>"Зерендинский, Зеренда, 11"</f>
        <v>Зерендинский, Зеренда, 11</v>
      </c>
      <c r="U145" t="str">
        <f>"Зерендинский, Зеренда, 11"</f>
        <v>Зерендинский, Зеренда, 11</v>
      </c>
      <c r="AC145" t="str">
        <f>"2022-02-21T00:00:00"</f>
        <v>2022-02-21T00:00:00</v>
      </c>
      <c r="AD145" t="str">
        <f>"25"</f>
        <v>25</v>
      </c>
      <c r="AE145" t="str">
        <f>"2024-09-01T22:47:31"</f>
        <v>2024-09-01T22:47:31</v>
      </c>
      <c r="AF145" t="str">
        <f>"2025-05-25T22:47:31"</f>
        <v>2025-05-25T22:47:31</v>
      </c>
      <c r="AG145" t="s">
        <v>622</v>
      </c>
      <c r="AI145" t="s">
        <v>558</v>
      </c>
      <c r="AK145" t="s">
        <v>292</v>
      </c>
      <c r="AP145" t="s">
        <v>293</v>
      </c>
      <c r="AT145" t="s">
        <v>294</v>
      </c>
      <c r="AU145" t="s">
        <v>295</v>
      </c>
      <c r="AW145" t="s">
        <v>296</v>
      </c>
      <c r="AX145">
        <v>2</v>
      </c>
      <c r="AY145" t="s">
        <v>297</v>
      </c>
      <c r="AZ145" t="s">
        <v>298</v>
      </c>
      <c r="BA145" t="s">
        <v>323</v>
      </c>
      <c r="BF145" t="s">
        <v>294</v>
      </c>
      <c r="BG145" t="s">
        <v>300</v>
      </c>
      <c r="BI145" t="s">
        <v>298</v>
      </c>
      <c r="BR145" t="s">
        <v>289</v>
      </c>
      <c r="BS145" t="s">
        <v>301</v>
      </c>
      <c r="BT145" t="s">
        <v>302</v>
      </c>
      <c r="BU145" t="s">
        <v>303</v>
      </c>
      <c r="BV145" t="s">
        <v>304</v>
      </c>
      <c r="BX145" t="s">
        <v>305</v>
      </c>
      <c r="BY145" t="s">
        <v>298</v>
      </c>
      <c r="BZ145" t="s">
        <v>306</v>
      </c>
      <c r="CA145" t="s">
        <v>466</v>
      </c>
      <c r="CC145" t="s">
        <v>308</v>
      </c>
      <c r="CD145" t="s">
        <v>309</v>
      </c>
      <c r="CE145" t="s">
        <v>294</v>
      </c>
      <c r="CK145" t="s">
        <v>361</v>
      </c>
      <c r="CL145" t="s">
        <v>328</v>
      </c>
      <c r="CM145" t="s">
        <v>298</v>
      </c>
      <c r="CO145" t="s">
        <v>312</v>
      </c>
      <c r="CT145" t="s">
        <v>294</v>
      </c>
      <c r="CU145" t="s">
        <v>313</v>
      </c>
      <c r="CV145" t="s">
        <v>314</v>
      </c>
      <c r="CW145" t="s">
        <v>315</v>
      </c>
      <c r="CX145" t="s">
        <v>316</v>
      </c>
      <c r="CZ145" t="s">
        <v>289</v>
      </c>
      <c r="DA145" t="s">
        <v>289</v>
      </c>
      <c r="DB145" t="s">
        <v>289</v>
      </c>
      <c r="DC145" t="s">
        <v>289</v>
      </c>
      <c r="DI145" t="s">
        <v>289</v>
      </c>
      <c r="DL145" t="s">
        <v>289</v>
      </c>
      <c r="DM145" t="s">
        <v>317</v>
      </c>
      <c r="DS145" t="s">
        <v>289</v>
      </c>
      <c r="DT145" t="s">
        <v>289</v>
      </c>
      <c r="DU145" t="s">
        <v>318</v>
      </c>
      <c r="DV145" t="s">
        <v>289</v>
      </c>
      <c r="DX145" t="s">
        <v>319</v>
      </c>
      <c r="EA145" t="s">
        <v>289</v>
      </c>
    </row>
    <row r="146" spans="1:231" x14ac:dyDescent="0.25">
      <c r="A146">
        <v>22507223</v>
      </c>
      <c r="B146">
        <v>551836</v>
      </c>
      <c r="C146" t="str">
        <f>"160423600289"</f>
        <v>160423600289</v>
      </c>
      <c r="D146" t="s">
        <v>836</v>
      </c>
      <c r="E146" t="s">
        <v>837</v>
      </c>
      <c r="F146" t="s">
        <v>838</v>
      </c>
      <c r="G146" s="1">
        <v>42483</v>
      </c>
      <c r="I146" t="s">
        <v>286</v>
      </c>
      <c r="J146" t="s">
        <v>287</v>
      </c>
      <c r="K146" t="s">
        <v>288</v>
      </c>
      <c r="Q146" t="s">
        <v>289</v>
      </c>
      <c r="R146" t="str">
        <f>"КАЗАХСТАН, АКМОЛИНСКАЯ, ЗЕРЕНДИНСКИЙ РАЙОН, ЗЕРЕНДА, 29"</f>
        <v>КАЗАХСТАН, АКМОЛИНСКАЯ, ЗЕРЕНДИНСКИЙ РАЙОН, ЗЕРЕНДА, 29</v>
      </c>
      <c r="S146" t="str">
        <f>"ҚАЗАҚСТАН, АҚМОЛА, ЗЕРЕНДІ АУДАНЫ, ЗЕРЕНДА, 29"</f>
        <v>ҚАЗАҚСТАН, АҚМОЛА, ЗЕРЕНДІ АУДАНЫ, ЗЕРЕНДА, 29</v>
      </c>
      <c r="T146" t="str">
        <f>"ЗЕРЕНДА, 29"</f>
        <v>ЗЕРЕНДА, 29</v>
      </c>
      <c r="U146" t="str">
        <f>"ЗЕРЕНДА, 29"</f>
        <v>ЗЕРЕНДА, 29</v>
      </c>
      <c r="AC146" t="str">
        <f>"2022-08-02T00:00:00"</f>
        <v>2022-08-02T00:00:00</v>
      </c>
      <c r="AD146" t="str">
        <f>"38"</f>
        <v>38</v>
      </c>
      <c r="AE146" t="str">
        <f>"2024-09-01T12:04:01"</f>
        <v>2024-09-01T12:04:01</v>
      </c>
      <c r="AF146" t="str">
        <f>"2025-05-25T12:04:01"</f>
        <v>2025-05-25T12:04:01</v>
      </c>
      <c r="AG146" t="s">
        <v>290</v>
      </c>
      <c r="AI146" t="s">
        <v>291</v>
      </c>
      <c r="AK146" t="s">
        <v>786</v>
      </c>
      <c r="AP146" t="s">
        <v>293</v>
      </c>
      <c r="AQ146" t="s">
        <v>289</v>
      </c>
      <c r="AT146" t="s">
        <v>294</v>
      </c>
      <c r="AU146" t="s">
        <v>295</v>
      </c>
      <c r="AW146" t="s">
        <v>296</v>
      </c>
      <c r="AX146">
        <v>2</v>
      </c>
      <c r="AY146" t="s">
        <v>297</v>
      </c>
      <c r="AZ146" t="s">
        <v>298</v>
      </c>
      <c r="BA146" t="s">
        <v>299</v>
      </c>
      <c r="BF146" t="s">
        <v>294</v>
      </c>
      <c r="BG146" t="s">
        <v>300</v>
      </c>
      <c r="BI146" t="s">
        <v>298</v>
      </c>
      <c r="BR146" t="s">
        <v>289</v>
      </c>
      <c r="BS146" t="s">
        <v>301</v>
      </c>
      <c r="BT146" t="s">
        <v>302</v>
      </c>
      <c r="BU146" t="s">
        <v>303</v>
      </c>
      <c r="BV146" t="s">
        <v>365</v>
      </c>
      <c r="BX146" t="s">
        <v>324</v>
      </c>
      <c r="BY146" t="s">
        <v>298</v>
      </c>
      <c r="BZ146" t="s">
        <v>306</v>
      </c>
      <c r="CA146" t="s">
        <v>325</v>
      </c>
      <c r="CC146" t="s">
        <v>308</v>
      </c>
      <c r="CD146" t="s">
        <v>309</v>
      </c>
      <c r="CE146" t="s">
        <v>289</v>
      </c>
      <c r="CJ146" t="s">
        <v>704</v>
      </c>
      <c r="CK146" t="s">
        <v>772</v>
      </c>
      <c r="CL146" t="s">
        <v>328</v>
      </c>
      <c r="CM146" t="s">
        <v>698</v>
      </c>
      <c r="CN146" t="s">
        <v>328</v>
      </c>
      <c r="CO146" t="s">
        <v>312</v>
      </c>
      <c r="CT146" t="s">
        <v>294</v>
      </c>
      <c r="CU146" t="s">
        <v>313</v>
      </c>
      <c r="CV146" t="s">
        <v>314</v>
      </c>
      <c r="CW146" t="s">
        <v>315</v>
      </c>
      <c r="CX146" t="s">
        <v>316</v>
      </c>
      <c r="CZ146" t="s">
        <v>289</v>
      </c>
      <c r="DA146" t="s">
        <v>289</v>
      </c>
      <c r="DB146" t="s">
        <v>289</v>
      </c>
      <c r="DC146" t="s">
        <v>289</v>
      </c>
      <c r="DI146" t="s">
        <v>289</v>
      </c>
      <c r="DL146" t="s">
        <v>289</v>
      </c>
      <c r="DM146" t="s">
        <v>317</v>
      </c>
      <c r="DS146" t="s">
        <v>289</v>
      </c>
      <c r="DT146" t="s">
        <v>289</v>
      </c>
      <c r="DU146" t="s">
        <v>318</v>
      </c>
      <c r="DV146" t="s">
        <v>289</v>
      </c>
      <c r="DX146" t="s">
        <v>319</v>
      </c>
      <c r="EA146" t="s">
        <v>289</v>
      </c>
      <c r="HW146" t="s">
        <v>294</v>
      </c>
    </row>
    <row r="147" spans="1:231" x14ac:dyDescent="0.25">
      <c r="A147">
        <v>22686679</v>
      </c>
      <c r="B147">
        <v>155628</v>
      </c>
      <c r="C147" t="str">
        <f>"111122500666"</f>
        <v>111122500666</v>
      </c>
      <c r="D147" t="s">
        <v>440</v>
      </c>
      <c r="E147" t="s">
        <v>839</v>
      </c>
      <c r="F147" t="s">
        <v>840</v>
      </c>
      <c r="G147" s="1">
        <v>40869</v>
      </c>
      <c r="I147" t="s">
        <v>353</v>
      </c>
      <c r="J147" t="s">
        <v>287</v>
      </c>
      <c r="K147" t="s">
        <v>288</v>
      </c>
      <c r="Q147" t="s">
        <v>289</v>
      </c>
      <c r="R147" t="str">
        <f>"КАЗАХСТАН, АКМОЛИНСКАЯ, ЗЕРЕНДИНСКИЙ РАЙОН, Кызылегисский, Ортаагаш, 4"</f>
        <v>КАЗАХСТАН, АКМОЛИНСКАЯ, ЗЕРЕНДИНСКИЙ РАЙОН, Кызылегисский, Ортаагаш, 4</v>
      </c>
      <c r="S147" t="str">
        <f>"ҚАЗАҚСТАН, АҚМОЛА, ЗЕРЕНДІ АУДАНЫ, Кызылегисский, Ортаагаш, 4"</f>
        <v>ҚАЗАҚСТАН, АҚМОЛА, ЗЕРЕНДІ АУДАНЫ, Кызылегисский, Ортаагаш, 4</v>
      </c>
      <c r="T147" t="str">
        <f>"Кызылегисский, Ортаагаш, 4"</f>
        <v>Кызылегисский, Ортаагаш, 4</v>
      </c>
      <c r="U147" t="str">
        <f>"Кызылегисский, Ортаагаш, 4"</f>
        <v>Кызылегисский, Ортаагаш, 4</v>
      </c>
      <c r="AC147" t="str">
        <f>"2022-07-14T00:00:00"</f>
        <v>2022-07-14T00:00:00</v>
      </c>
      <c r="AD147" t="str">
        <f>"33"</f>
        <v>33</v>
      </c>
      <c r="AE147" t="str">
        <f>"2024-09-01T22:47:38"</f>
        <v>2024-09-01T22:47:38</v>
      </c>
      <c r="AF147" t="str">
        <f>"2025-05-25T22:47:38"</f>
        <v>2025-05-25T22:47:38</v>
      </c>
      <c r="AG147" t="s">
        <v>290</v>
      </c>
      <c r="AI147" t="s">
        <v>476</v>
      </c>
      <c r="AK147" t="s">
        <v>292</v>
      </c>
      <c r="AP147" t="s">
        <v>293</v>
      </c>
      <c r="AT147" t="s">
        <v>294</v>
      </c>
      <c r="AU147" t="s">
        <v>295</v>
      </c>
      <c r="AW147" t="s">
        <v>296</v>
      </c>
      <c r="AX147">
        <v>2</v>
      </c>
      <c r="AY147" t="s">
        <v>297</v>
      </c>
      <c r="AZ147" t="s">
        <v>298</v>
      </c>
      <c r="BA147" t="s">
        <v>299</v>
      </c>
      <c r="BF147" t="s">
        <v>294</v>
      </c>
      <c r="BG147" t="s">
        <v>300</v>
      </c>
      <c r="BI147" t="s">
        <v>298</v>
      </c>
      <c r="BR147" t="s">
        <v>289</v>
      </c>
      <c r="BS147" t="s">
        <v>301</v>
      </c>
      <c r="BT147" t="s">
        <v>302</v>
      </c>
      <c r="BU147" t="s">
        <v>303</v>
      </c>
      <c r="BV147" t="s">
        <v>304</v>
      </c>
      <c r="BX147" t="s">
        <v>324</v>
      </c>
      <c r="BY147" t="s">
        <v>298</v>
      </c>
      <c r="BZ147" t="s">
        <v>306</v>
      </c>
      <c r="CA147" t="s">
        <v>325</v>
      </c>
      <c r="CC147" t="s">
        <v>308</v>
      </c>
      <c r="CD147" t="s">
        <v>309</v>
      </c>
      <c r="CE147" t="s">
        <v>294</v>
      </c>
      <c r="CK147" t="s">
        <v>335</v>
      </c>
      <c r="CM147" t="s">
        <v>493</v>
      </c>
      <c r="CN147" t="s">
        <v>328</v>
      </c>
      <c r="CO147" t="s">
        <v>312</v>
      </c>
      <c r="CT147" t="s">
        <v>294</v>
      </c>
      <c r="CU147" t="s">
        <v>313</v>
      </c>
      <c r="CV147" t="s">
        <v>314</v>
      </c>
      <c r="CW147" t="s">
        <v>315</v>
      </c>
      <c r="CX147" t="s">
        <v>316</v>
      </c>
      <c r="CZ147" t="s">
        <v>289</v>
      </c>
      <c r="DA147" t="s">
        <v>289</v>
      </c>
      <c r="DB147" t="s">
        <v>289</v>
      </c>
      <c r="DC147" t="s">
        <v>289</v>
      </c>
      <c r="DI147" t="s">
        <v>289</v>
      </c>
      <c r="DL147" t="s">
        <v>289</v>
      </c>
      <c r="DM147" t="s">
        <v>317</v>
      </c>
      <c r="DS147" t="s">
        <v>289</v>
      </c>
      <c r="DT147" t="s">
        <v>289</v>
      </c>
      <c r="DU147" t="s">
        <v>318</v>
      </c>
      <c r="DV147" t="s">
        <v>289</v>
      </c>
      <c r="DX147" t="s">
        <v>319</v>
      </c>
      <c r="EA147" t="s">
        <v>289</v>
      </c>
    </row>
    <row r="148" spans="1:231" x14ac:dyDescent="0.25">
      <c r="A148">
        <v>22882382</v>
      </c>
      <c r="B148">
        <v>81368</v>
      </c>
      <c r="C148" t="str">
        <f>"101231604418"</f>
        <v>101231604418</v>
      </c>
      <c r="D148" t="s">
        <v>841</v>
      </c>
      <c r="E148" t="s">
        <v>842</v>
      </c>
      <c r="F148" t="s">
        <v>843</v>
      </c>
      <c r="G148" s="1">
        <v>40543</v>
      </c>
      <c r="I148" t="s">
        <v>286</v>
      </c>
      <c r="J148" t="s">
        <v>287</v>
      </c>
      <c r="K148" t="s">
        <v>778</v>
      </c>
      <c r="Q148" t="s">
        <v>289</v>
      </c>
      <c r="R148" t="str">
        <f>"КАЗАХСТАН, АКМОЛИНСКАЯ, ЗЕРЕНДИНСКИЙ РАЙОН, Троицкий, Кошкарбай, 15"</f>
        <v>КАЗАХСТАН, АКМОЛИНСКАЯ, ЗЕРЕНДИНСКИЙ РАЙОН, Троицкий, Кошкарбай, 15</v>
      </c>
      <c r="S148" t="str">
        <f>"ҚАЗАҚСТАН, АҚМОЛА, ЗЕРЕНДІ АУДАНЫ, Троицкий, Кошкарбай, 15"</f>
        <v>ҚАЗАҚСТАН, АҚМОЛА, ЗЕРЕНДІ АУДАНЫ, Троицкий, Кошкарбай, 15</v>
      </c>
      <c r="T148" t="str">
        <f>"Троицкий, Кошкарбай, 15"</f>
        <v>Троицкий, Кошкарбай, 15</v>
      </c>
      <c r="U148" t="str">
        <f>"Троицкий, Кошкарбай, 15"</f>
        <v>Троицкий, Кошкарбай, 15</v>
      </c>
      <c r="AC148" t="str">
        <f>"2022-08-03T00:00:00"</f>
        <v>2022-08-03T00:00:00</v>
      </c>
      <c r="AD148" t="str">
        <f>"35"</f>
        <v>35</v>
      </c>
      <c r="AE148" t="str">
        <f>"2024-09-01T14:46:13"</f>
        <v>2024-09-01T14:46:13</v>
      </c>
      <c r="AF148" t="str">
        <f>"2025-05-25T14:46:13"</f>
        <v>2025-05-25T14:46:13</v>
      </c>
      <c r="AG148" t="s">
        <v>290</v>
      </c>
      <c r="AI148" t="s">
        <v>476</v>
      </c>
      <c r="AK148" t="s">
        <v>292</v>
      </c>
      <c r="AP148" t="s">
        <v>293</v>
      </c>
      <c r="AT148" t="s">
        <v>294</v>
      </c>
      <c r="AU148" t="s">
        <v>295</v>
      </c>
      <c r="AW148" t="s">
        <v>296</v>
      </c>
      <c r="AX148">
        <v>2</v>
      </c>
      <c r="AY148" t="s">
        <v>297</v>
      </c>
      <c r="AZ148" t="s">
        <v>298</v>
      </c>
      <c r="BA148" t="s">
        <v>299</v>
      </c>
      <c r="BF148" t="s">
        <v>294</v>
      </c>
      <c r="BG148" t="s">
        <v>300</v>
      </c>
      <c r="BI148" t="s">
        <v>298</v>
      </c>
      <c r="BR148" t="s">
        <v>289</v>
      </c>
      <c r="BS148" t="s">
        <v>433</v>
      </c>
      <c r="BT148" t="s">
        <v>434</v>
      </c>
      <c r="BU148" t="s">
        <v>303</v>
      </c>
      <c r="BV148" t="s">
        <v>365</v>
      </c>
      <c r="BX148" t="s">
        <v>324</v>
      </c>
      <c r="BY148" t="s">
        <v>298</v>
      </c>
      <c r="BZ148" t="s">
        <v>306</v>
      </c>
      <c r="CA148" t="s">
        <v>325</v>
      </c>
      <c r="CC148" t="s">
        <v>308</v>
      </c>
      <c r="CD148" t="s">
        <v>309</v>
      </c>
      <c r="CE148" t="s">
        <v>294</v>
      </c>
      <c r="CH148" t="s">
        <v>317</v>
      </c>
      <c r="CI148" t="s">
        <v>317</v>
      </c>
      <c r="CK148" t="s">
        <v>375</v>
      </c>
      <c r="CL148" t="s">
        <v>328</v>
      </c>
      <c r="CM148" t="s">
        <v>844</v>
      </c>
      <c r="CN148" t="s">
        <v>345</v>
      </c>
      <c r="CO148" t="s">
        <v>312</v>
      </c>
      <c r="CT148" t="s">
        <v>294</v>
      </c>
      <c r="CU148" t="s">
        <v>336</v>
      </c>
      <c r="CV148" t="s">
        <v>337</v>
      </c>
      <c r="CW148" t="s">
        <v>338</v>
      </c>
      <c r="CX148" t="s">
        <v>316</v>
      </c>
      <c r="CZ148" t="s">
        <v>289</v>
      </c>
      <c r="DA148" t="s">
        <v>289</v>
      </c>
      <c r="DB148" t="s">
        <v>289</v>
      </c>
      <c r="DC148" t="s">
        <v>289</v>
      </c>
      <c r="DI148" t="s">
        <v>289</v>
      </c>
      <c r="DL148" t="s">
        <v>289</v>
      </c>
      <c r="DM148" t="s">
        <v>317</v>
      </c>
      <c r="DS148" t="s">
        <v>289</v>
      </c>
      <c r="DT148" t="s">
        <v>289</v>
      </c>
      <c r="DU148" t="s">
        <v>318</v>
      </c>
      <c r="DV148" t="s">
        <v>289</v>
      </c>
      <c r="DX148" t="s">
        <v>368</v>
      </c>
      <c r="DY148" t="s">
        <v>472</v>
      </c>
      <c r="DZ148" t="s">
        <v>473</v>
      </c>
      <c r="EA148" t="s">
        <v>289</v>
      </c>
    </row>
    <row r="149" spans="1:231" x14ac:dyDescent="0.25">
      <c r="A149">
        <v>22882384</v>
      </c>
      <c r="B149">
        <v>81373</v>
      </c>
      <c r="C149" t="str">
        <f>"121107500478"</f>
        <v>121107500478</v>
      </c>
      <c r="D149" t="s">
        <v>845</v>
      </c>
      <c r="E149" t="s">
        <v>846</v>
      </c>
      <c r="F149" t="s">
        <v>847</v>
      </c>
      <c r="G149" s="1">
        <v>41220</v>
      </c>
      <c r="I149" t="s">
        <v>353</v>
      </c>
      <c r="J149" t="s">
        <v>287</v>
      </c>
      <c r="K149" t="s">
        <v>288</v>
      </c>
      <c r="Q149" t="s">
        <v>289</v>
      </c>
      <c r="R149" t="str">
        <f>"КАЗАХСТАН, АКМОЛИНСКАЯ, ЗЕРЕНДИНСКИЙ РАЙОН, Троицкий, Кошкарбай, 20"</f>
        <v>КАЗАХСТАН, АКМОЛИНСКАЯ, ЗЕРЕНДИНСКИЙ РАЙОН, Троицкий, Кошкарбай, 20</v>
      </c>
      <c r="S149" t="str">
        <f>"ҚАЗАҚСТАН, АҚМОЛА, ЗЕРЕНДІ АУДАНЫ, Троицкий, Кошкарбай, 20"</f>
        <v>ҚАЗАҚСТАН, АҚМОЛА, ЗЕРЕНДІ АУДАНЫ, Троицкий, Кошкарбай, 20</v>
      </c>
      <c r="T149" t="str">
        <f>"Троицкий, Кошкарбай, 20"</f>
        <v>Троицкий, Кошкарбай, 20</v>
      </c>
      <c r="U149" t="str">
        <f>"Троицкий, Кошкарбай, 20"</f>
        <v>Троицкий, Кошкарбай, 20</v>
      </c>
      <c r="AC149" t="str">
        <f>"2022-08-09T00:00:00"</f>
        <v>2022-08-09T00:00:00</v>
      </c>
      <c r="AD149" t="str">
        <f>"38"</f>
        <v>38</v>
      </c>
      <c r="AE149" t="str">
        <f>"2024-09-01T22:48:24"</f>
        <v>2024-09-01T22:48:24</v>
      </c>
      <c r="AF149" t="str">
        <f>"2025-05-25T22:48:24"</f>
        <v>2025-05-25T22:48:24</v>
      </c>
      <c r="AG149" t="s">
        <v>290</v>
      </c>
      <c r="AI149" t="s">
        <v>476</v>
      </c>
      <c r="AK149" t="s">
        <v>292</v>
      </c>
      <c r="AP149" t="s">
        <v>293</v>
      </c>
      <c r="AT149" t="s">
        <v>294</v>
      </c>
      <c r="AU149" t="s">
        <v>295</v>
      </c>
      <c r="AW149" t="s">
        <v>296</v>
      </c>
      <c r="AX149">
        <v>2</v>
      </c>
      <c r="AY149" t="s">
        <v>297</v>
      </c>
      <c r="AZ149" t="s">
        <v>298</v>
      </c>
      <c r="BA149" t="s">
        <v>323</v>
      </c>
      <c r="BF149" t="s">
        <v>294</v>
      </c>
      <c r="BG149" t="s">
        <v>300</v>
      </c>
      <c r="BI149" t="s">
        <v>298</v>
      </c>
      <c r="BR149" t="s">
        <v>289</v>
      </c>
      <c r="BS149" t="s">
        <v>433</v>
      </c>
      <c r="BT149" t="s">
        <v>434</v>
      </c>
      <c r="BU149" t="s">
        <v>303</v>
      </c>
      <c r="BV149" t="s">
        <v>304</v>
      </c>
      <c r="BX149" t="s">
        <v>324</v>
      </c>
      <c r="BY149" t="s">
        <v>298</v>
      </c>
      <c r="BZ149" t="s">
        <v>306</v>
      </c>
      <c r="CA149" t="s">
        <v>325</v>
      </c>
      <c r="CC149" t="s">
        <v>308</v>
      </c>
      <c r="CD149" t="s">
        <v>309</v>
      </c>
      <c r="CE149" t="s">
        <v>294</v>
      </c>
      <c r="CK149" t="s">
        <v>335</v>
      </c>
      <c r="CM149" t="s">
        <v>848</v>
      </c>
      <c r="CN149" t="s">
        <v>345</v>
      </c>
      <c r="CO149" t="s">
        <v>312</v>
      </c>
      <c r="CT149" t="s">
        <v>294</v>
      </c>
      <c r="CU149" t="s">
        <v>313</v>
      </c>
      <c r="CV149" t="s">
        <v>314</v>
      </c>
      <c r="CW149" t="s">
        <v>315</v>
      </c>
      <c r="CX149" t="s">
        <v>316</v>
      </c>
      <c r="CZ149" t="s">
        <v>289</v>
      </c>
      <c r="DA149" t="s">
        <v>289</v>
      </c>
      <c r="DB149" t="s">
        <v>289</v>
      </c>
      <c r="DC149" t="s">
        <v>289</v>
      </c>
      <c r="DI149" t="s">
        <v>289</v>
      </c>
      <c r="DL149" t="s">
        <v>289</v>
      </c>
      <c r="DM149" t="s">
        <v>317</v>
      </c>
      <c r="DS149" t="s">
        <v>289</v>
      </c>
      <c r="DT149" t="s">
        <v>289</v>
      </c>
      <c r="DU149" t="s">
        <v>318</v>
      </c>
      <c r="DV149" t="s">
        <v>289</v>
      </c>
      <c r="DX149" t="s">
        <v>319</v>
      </c>
      <c r="EA149" t="s">
        <v>289</v>
      </c>
    </row>
    <row r="150" spans="1:231" x14ac:dyDescent="0.25">
      <c r="A150">
        <v>22882385</v>
      </c>
      <c r="B150">
        <v>895644</v>
      </c>
      <c r="C150" t="str">
        <f>"140818605510"</f>
        <v>140818605510</v>
      </c>
      <c r="D150" t="s">
        <v>841</v>
      </c>
      <c r="E150" t="s">
        <v>849</v>
      </c>
      <c r="F150" t="s">
        <v>843</v>
      </c>
      <c r="G150" s="1">
        <v>41869</v>
      </c>
      <c r="I150" t="s">
        <v>286</v>
      </c>
      <c r="J150" t="s">
        <v>287</v>
      </c>
      <c r="K150" t="s">
        <v>778</v>
      </c>
      <c r="Q150" t="s">
        <v>289</v>
      </c>
      <c r="R150" t="str">
        <f>"КАЗАХСТАН, АКМОЛИНСКАЯ, ЗЕРЕНДИНСКИЙ РАЙОН, Троицкий, Кошкарбай, 15"</f>
        <v>КАЗАХСТАН, АКМОЛИНСКАЯ, ЗЕРЕНДИНСКИЙ РАЙОН, Троицкий, Кошкарбай, 15</v>
      </c>
      <c r="S150" t="str">
        <f>"ҚАЗАҚСТАН, АҚМОЛА, ЗЕРЕНДІ АУДАНЫ, Троицкий, Кошкарбай, 15"</f>
        <v>ҚАЗАҚСТАН, АҚМОЛА, ЗЕРЕНДІ АУДАНЫ, Троицкий, Кошкарбай, 15</v>
      </c>
      <c r="T150" t="str">
        <f>"Троицкий, Кошкарбай, 15"</f>
        <v>Троицкий, Кошкарбай, 15</v>
      </c>
      <c r="U150" t="str">
        <f>"Троицкий, Кошкарбай, 15"</f>
        <v>Троицкий, Кошкарбай, 15</v>
      </c>
      <c r="AC150" t="str">
        <f>"2022-08-03T00:00:00"</f>
        <v>2022-08-03T00:00:00</v>
      </c>
      <c r="AD150" t="str">
        <f>"36"</f>
        <v>36</v>
      </c>
      <c r="AE150" t="str">
        <f>"2024-09-01T11:54:32"</f>
        <v>2024-09-01T11:54:32</v>
      </c>
      <c r="AF150" t="str">
        <f>"2025-05-25T11:54:32"</f>
        <v>2025-05-25T11:54:32</v>
      </c>
      <c r="AG150" t="s">
        <v>290</v>
      </c>
      <c r="AI150" t="s">
        <v>558</v>
      </c>
      <c r="AK150" t="s">
        <v>634</v>
      </c>
      <c r="AP150" t="s">
        <v>293</v>
      </c>
      <c r="AT150" t="s">
        <v>294</v>
      </c>
      <c r="AU150" t="s">
        <v>295</v>
      </c>
      <c r="AW150" t="s">
        <v>296</v>
      </c>
      <c r="AX150">
        <v>2</v>
      </c>
      <c r="AY150" t="s">
        <v>297</v>
      </c>
      <c r="AZ150" t="s">
        <v>298</v>
      </c>
      <c r="BA150" t="s">
        <v>299</v>
      </c>
      <c r="BF150" t="s">
        <v>294</v>
      </c>
      <c r="BG150" t="s">
        <v>300</v>
      </c>
      <c r="BI150" t="s">
        <v>298</v>
      </c>
      <c r="BR150" t="s">
        <v>289</v>
      </c>
      <c r="BS150" t="s">
        <v>433</v>
      </c>
      <c r="BT150" t="s">
        <v>434</v>
      </c>
      <c r="BU150" t="s">
        <v>303</v>
      </c>
      <c r="BV150" t="s">
        <v>365</v>
      </c>
      <c r="BX150" t="s">
        <v>305</v>
      </c>
      <c r="BY150" t="s">
        <v>298</v>
      </c>
      <c r="BZ150" t="s">
        <v>306</v>
      </c>
      <c r="CA150" t="s">
        <v>307</v>
      </c>
      <c r="CC150" t="s">
        <v>308</v>
      </c>
      <c r="CD150" t="s">
        <v>309</v>
      </c>
      <c r="CE150" t="s">
        <v>294</v>
      </c>
      <c r="CH150" t="s">
        <v>317</v>
      </c>
      <c r="CI150" t="s">
        <v>317</v>
      </c>
      <c r="CK150" t="s">
        <v>850</v>
      </c>
      <c r="CL150" t="s">
        <v>783</v>
      </c>
      <c r="CM150" t="s">
        <v>664</v>
      </c>
      <c r="CN150" t="s">
        <v>367</v>
      </c>
      <c r="CO150" t="s">
        <v>312</v>
      </c>
      <c r="CT150" t="s">
        <v>294</v>
      </c>
      <c r="CU150" t="s">
        <v>313</v>
      </c>
      <c r="CV150" t="s">
        <v>314</v>
      </c>
      <c r="CW150" t="s">
        <v>315</v>
      </c>
      <c r="CX150" t="s">
        <v>316</v>
      </c>
      <c r="CZ150" t="s">
        <v>289</v>
      </c>
      <c r="DA150" t="s">
        <v>289</v>
      </c>
      <c r="DB150" t="s">
        <v>289</v>
      </c>
      <c r="DC150" t="s">
        <v>289</v>
      </c>
      <c r="DI150" t="s">
        <v>289</v>
      </c>
      <c r="DL150" t="s">
        <v>289</v>
      </c>
      <c r="DM150" t="s">
        <v>317</v>
      </c>
      <c r="DS150" t="s">
        <v>289</v>
      </c>
      <c r="DT150" t="s">
        <v>289</v>
      </c>
      <c r="DU150" t="s">
        <v>318</v>
      </c>
      <c r="DV150" t="s">
        <v>289</v>
      </c>
      <c r="DX150" t="s">
        <v>368</v>
      </c>
      <c r="DY150" t="s">
        <v>472</v>
      </c>
      <c r="DZ150" t="s">
        <v>473</v>
      </c>
      <c r="EA150" t="s">
        <v>289</v>
      </c>
    </row>
    <row r="151" spans="1:231" x14ac:dyDescent="0.25">
      <c r="A151">
        <v>22900862</v>
      </c>
      <c r="B151">
        <v>84339</v>
      </c>
      <c r="C151" t="str">
        <f>"111109501168"</f>
        <v>111109501168</v>
      </c>
      <c r="D151" t="s">
        <v>851</v>
      </c>
      <c r="E151" t="s">
        <v>852</v>
      </c>
      <c r="F151" t="s">
        <v>744</v>
      </c>
      <c r="G151" s="1">
        <v>40856</v>
      </c>
      <c r="I151" t="s">
        <v>353</v>
      </c>
      <c r="J151" t="s">
        <v>287</v>
      </c>
      <c r="K151" t="s">
        <v>288</v>
      </c>
      <c r="Q151" t="s">
        <v>289</v>
      </c>
      <c r="R151" t="str">
        <f>"КАЗАХСТАН, АКМОЛИНСКАЯ, ЗЕРЕНДИНСКИЙ РАЙОН, Троицкий, Карсак, 13"</f>
        <v>КАЗАХСТАН, АКМОЛИНСКАЯ, ЗЕРЕНДИНСКИЙ РАЙОН, Троицкий, Карсак, 13</v>
      </c>
      <c r="S151" t="str">
        <f>"ҚАЗАҚСТАН, АҚМОЛА, ЗЕРЕНДІ АУДАНЫ, Троицкий, Карсак, 13"</f>
        <v>ҚАЗАҚСТАН, АҚМОЛА, ЗЕРЕНДІ АУДАНЫ, Троицкий, Карсак, 13</v>
      </c>
      <c r="T151" t="str">
        <f>"Троицкий, Карсак, 13"</f>
        <v>Троицкий, Карсак, 13</v>
      </c>
      <c r="U151" t="str">
        <f>"Троицкий, Карсак, 13"</f>
        <v>Троицкий, Карсак, 13</v>
      </c>
      <c r="AC151" t="str">
        <f>"2022-08-22T00:00:00"</f>
        <v>2022-08-22T00:00:00</v>
      </c>
      <c r="AD151" t="str">
        <f>"45"</f>
        <v>45</v>
      </c>
      <c r="AE151" t="str">
        <f>"2024-09-01T22:48:32"</f>
        <v>2024-09-01T22:48:32</v>
      </c>
      <c r="AF151" t="str">
        <f>"2025-05-25T22:48:32"</f>
        <v>2025-05-25T22:48:32</v>
      </c>
      <c r="AG151" t="s">
        <v>290</v>
      </c>
      <c r="AI151" t="s">
        <v>476</v>
      </c>
      <c r="AK151" t="s">
        <v>292</v>
      </c>
      <c r="AP151" t="s">
        <v>293</v>
      </c>
      <c r="AT151" t="s">
        <v>294</v>
      </c>
      <c r="AU151" t="s">
        <v>295</v>
      </c>
      <c r="AW151" t="s">
        <v>296</v>
      </c>
      <c r="AX151">
        <v>2</v>
      </c>
      <c r="AY151" t="s">
        <v>297</v>
      </c>
      <c r="AZ151" t="s">
        <v>298</v>
      </c>
      <c r="BA151" t="s">
        <v>299</v>
      </c>
      <c r="BF151" t="s">
        <v>294</v>
      </c>
      <c r="BG151" t="s">
        <v>300</v>
      </c>
      <c r="BI151" t="s">
        <v>298</v>
      </c>
      <c r="BR151" t="s">
        <v>289</v>
      </c>
      <c r="BS151" t="s">
        <v>433</v>
      </c>
      <c r="BT151" t="s">
        <v>434</v>
      </c>
      <c r="BU151" t="s">
        <v>303</v>
      </c>
      <c r="BV151" t="s">
        <v>304</v>
      </c>
      <c r="BX151" t="s">
        <v>324</v>
      </c>
      <c r="BY151" t="s">
        <v>298</v>
      </c>
      <c r="BZ151" t="s">
        <v>306</v>
      </c>
      <c r="CA151" t="s">
        <v>325</v>
      </c>
      <c r="CC151" t="s">
        <v>308</v>
      </c>
      <c r="CD151" t="s">
        <v>309</v>
      </c>
      <c r="CE151" t="s">
        <v>294</v>
      </c>
      <c r="CK151" t="s">
        <v>335</v>
      </c>
      <c r="CM151" t="s">
        <v>853</v>
      </c>
      <c r="CN151" t="s">
        <v>783</v>
      </c>
      <c r="CO151" t="s">
        <v>312</v>
      </c>
      <c r="CT151" t="s">
        <v>294</v>
      </c>
      <c r="CU151" t="s">
        <v>313</v>
      </c>
      <c r="CV151" t="s">
        <v>314</v>
      </c>
      <c r="CW151" t="s">
        <v>315</v>
      </c>
      <c r="CX151" t="s">
        <v>316</v>
      </c>
      <c r="CZ151" t="s">
        <v>289</v>
      </c>
      <c r="DA151" t="s">
        <v>289</v>
      </c>
      <c r="DB151" t="s">
        <v>289</v>
      </c>
      <c r="DC151" t="s">
        <v>289</v>
      </c>
      <c r="DI151" t="s">
        <v>289</v>
      </c>
      <c r="DL151" t="s">
        <v>289</v>
      </c>
      <c r="DM151" t="s">
        <v>317</v>
      </c>
      <c r="DS151" t="s">
        <v>289</v>
      </c>
      <c r="DT151" t="s">
        <v>289</v>
      </c>
      <c r="DU151" t="s">
        <v>318</v>
      </c>
      <c r="DV151" t="s">
        <v>289</v>
      </c>
      <c r="DX151" t="s">
        <v>319</v>
      </c>
      <c r="EA151" t="s">
        <v>289</v>
      </c>
    </row>
    <row r="152" spans="1:231" x14ac:dyDescent="0.25">
      <c r="A152">
        <v>22900893</v>
      </c>
      <c r="B152">
        <v>84296</v>
      </c>
      <c r="C152" t="str">
        <f>"120125505602"</f>
        <v>120125505602</v>
      </c>
      <c r="D152" t="s">
        <v>854</v>
      </c>
      <c r="E152" t="s">
        <v>855</v>
      </c>
      <c r="F152" t="s">
        <v>856</v>
      </c>
      <c r="G152" s="1">
        <v>40933</v>
      </c>
      <c r="I152" t="s">
        <v>353</v>
      </c>
      <c r="J152" t="s">
        <v>287</v>
      </c>
      <c r="K152" t="s">
        <v>288</v>
      </c>
      <c r="Q152" t="s">
        <v>289</v>
      </c>
      <c r="R152" t="str">
        <f>"КАЗАХСТАН, АКМОЛИНСКАЯ, КОКШЕТАУ, Красноярский, Красный Яр, 6, 2"</f>
        <v>КАЗАХСТАН, АКМОЛИНСКАЯ, КОКШЕТАУ, Красноярский, Красный Яр, 6, 2</v>
      </c>
      <c r="S152" t="str">
        <f>"ҚАЗАҚСТАН, АҚМОЛА, КӨКШЕТАУ, Красноярский, Красный Яр, 6, 2"</f>
        <v>ҚАЗАҚСТАН, АҚМОЛА, КӨКШЕТАУ, Красноярский, Красный Яр, 6, 2</v>
      </c>
      <c r="T152" t="str">
        <f>"Красноярский, Красный Яр, 6, 2"</f>
        <v>Красноярский, Красный Яр, 6, 2</v>
      </c>
      <c r="U152" t="str">
        <f>"Красноярский, Красный Яр, 6, 2"</f>
        <v>Красноярский, Красный Яр, 6, 2</v>
      </c>
      <c r="AC152" t="str">
        <f>"2022-08-19T00:00:00"</f>
        <v>2022-08-19T00:00:00</v>
      </c>
      <c r="AD152" t="str">
        <f>"44"</f>
        <v>44</v>
      </c>
      <c r="AE152" t="str">
        <f>"2024-09-01T22:48:44"</f>
        <v>2024-09-01T22:48:44</v>
      </c>
      <c r="AF152" t="str">
        <f>"2025-05-25T22:48:44"</f>
        <v>2025-05-25T22:48:44</v>
      </c>
      <c r="AG152" t="s">
        <v>290</v>
      </c>
      <c r="AI152" t="s">
        <v>291</v>
      </c>
      <c r="AK152" t="s">
        <v>292</v>
      </c>
      <c r="AP152" t="s">
        <v>293</v>
      </c>
      <c r="AT152" t="s">
        <v>294</v>
      </c>
      <c r="AU152" t="s">
        <v>295</v>
      </c>
      <c r="AW152" t="s">
        <v>296</v>
      </c>
      <c r="AX152">
        <v>2</v>
      </c>
      <c r="AY152" t="s">
        <v>297</v>
      </c>
      <c r="AZ152" t="s">
        <v>298</v>
      </c>
      <c r="BA152" t="s">
        <v>299</v>
      </c>
      <c r="BF152" t="s">
        <v>294</v>
      </c>
      <c r="BG152" t="s">
        <v>300</v>
      </c>
      <c r="BI152" t="s">
        <v>298</v>
      </c>
      <c r="BR152" t="s">
        <v>289</v>
      </c>
      <c r="BS152" t="s">
        <v>433</v>
      </c>
      <c r="BT152" t="s">
        <v>434</v>
      </c>
      <c r="BU152" t="s">
        <v>303</v>
      </c>
      <c r="BV152" t="s">
        <v>304</v>
      </c>
      <c r="BX152" t="s">
        <v>324</v>
      </c>
      <c r="BY152" t="s">
        <v>298</v>
      </c>
      <c r="BZ152" t="s">
        <v>306</v>
      </c>
      <c r="CA152" t="s">
        <v>325</v>
      </c>
      <c r="CC152" t="s">
        <v>308</v>
      </c>
      <c r="CD152" t="s">
        <v>309</v>
      </c>
      <c r="CE152" t="s">
        <v>294</v>
      </c>
      <c r="CK152" t="s">
        <v>467</v>
      </c>
      <c r="CL152" t="s">
        <v>328</v>
      </c>
      <c r="CM152" t="s">
        <v>857</v>
      </c>
      <c r="CN152" t="s">
        <v>783</v>
      </c>
      <c r="CO152" t="s">
        <v>312</v>
      </c>
      <c r="CT152" t="s">
        <v>294</v>
      </c>
      <c r="CU152" t="s">
        <v>313</v>
      </c>
      <c r="CV152" t="s">
        <v>314</v>
      </c>
      <c r="CW152" t="s">
        <v>315</v>
      </c>
      <c r="CX152" t="s">
        <v>316</v>
      </c>
      <c r="CZ152" t="s">
        <v>289</v>
      </c>
      <c r="DA152" t="s">
        <v>289</v>
      </c>
      <c r="DB152" t="s">
        <v>289</v>
      </c>
      <c r="DC152" t="s">
        <v>289</v>
      </c>
      <c r="DI152" t="s">
        <v>289</v>
      </c>
      <c r="DL152" t="s">
        <v>289</v>
      </c>
      <c r="DM152" t="s">
        <v>317</v>
      </c>
      <c r="DS152" t="s">
        <v>289</v>
      </c>
      <c r="DT152" t="s">
        <v>289</v>
      </c>
      <c r="DU152" t="s">
        <v>318</v>
      </c>
      <c r="DV152" t="s">
        <v>289</v>
      </c>
      <c r="DX152" t="s">
        <v>319</v>
      </c>
      <c r="EA152" t="s">
        <v>289</v>
      </c>
    </row>
    <row r="153" spans="1:231" x14ac:dyDescent="0.25">
      <c r="A153">
        <v>23086153</v>
      </c>
      <c r="B153">
        <v>482005</v>
      </c>
      <c r="C153" t="str">
        <f>"130122605043"</f>
        <v>130122605043</v>
      </c>
      <c r="D153" t="s">
        <v>858</v>
      </c>
      <c r="E153" t="s">
        <v>859</v>
      </c>
      <c r="F153" t="s">
        <v>860</v>
      </c>
      <c r="G153" s="1">
        <v>41296</v>
      </c>
      <c r="I153" t="s">
        <v>286</v>
      </c>
      <c r="J153" t="s">
        <v>287</v>
      </c>
      <c r="K153" t="s">
        <v>288</v>
      </c>
      <c r="Q153" t="s">
        <v>289</v>
      </c>
      <c r="R153" t="str">
        <f>"КАЗАХСТАН, АКМОЛИНСКАЯ, ЗЕРЕНДИНСКИЙ РАЙОН, Алексеевский, Алексеевка, 8"</f>
        <v>КАЗАХСТАН, АКМОЛИНСКАЯ, ЗЕРЕНДИНСКИЙ РАЙОН, Алексеевский, Алексеевка, 8</v>
      </c>
      <c r="S153" t="str">
        <f>"ҚАЗАҚСТАН, АҚМОЛА, ЗЕРЕНДІ АУДАНЫ, Алексеевский, Алексеевка, 8"</f>
        <v>ҚАЗАҚСТАН, АҚМОЛА, ЗЕРЕНДІ АУДАНЫ, Алексеевский, Алексеевка, 8</v>
      </c>
      <c r="T153" t="str">
        <f>"Алексеевский, Алексеевка, 8"</f>
        <v>Алексеевский, Алексеевка, 8</v>
      </c>
      <c r="U153" t="str">
        <f>"Алексеевский, Алексеевка, 8"</f>
        <v>Алексеевский, Алексеевка, 8</v>
      </c>
      <c r="AC153" t="str">
        <f>"2022-09-05T00:00:00"</f>
        <v>2022-09-05T00:00:00</v>
      </c>
      <c r="AD153" t="str">
        <f>"3"</f>
        <v>3</v>
      </c>
      <c r="AE153" t="str">
        <f>"2024-09-01T21:36:50"</f>
        <v>2024-09-01T21:36:50</v>
      </c>
      <c r="AF153" t="str">
        <f>"2025-05-25T21:36:50"</f>
        <v>2025-05-25T21:36:50</v>
      </c>
      <c r="AG153" t="s">
        <v>290</v>
      </c>
      <c r="AI153" t="s">
        <v>558</v>
      </c>
      <c r="AK153" t="s">
        <v>465</v>
      </c>
      <c r="AP153" t="s">
        <v>293</v>
      </c>
      <c r="AT153" t="s">
        <v>294</v>
      </c>
      <c r="AU153" t="s">
        <v>295</v>
      </c>
      <c r="AW153" t="s">
        <v>296</v>
      </c>
      <c r="AX153">
        <v>2</v>
      </c>
      <c r="AY153" t="s">
        <v>297</v>
      </c>
      <c r="AZ153" t="s">
        <v>298</v>
      </c>
      <c r="BA153" t="s">
        <v>299</v>
      </c>
      <c r="BF153" t="s">
        <v>294</v>
      </c>
      <c r="BG153" t="s">
        <v>300</v>
      </c>
      <c r="BI153" t="s">
        <v>298</v>
      </c>
      <c r="BR153" t="s">
        <v>289</v>
      </c>
      <c r="BS153" t="s">
        <v>301</v>
      </c>
      <c r="BT153" t="s">
        <v>302</v>
      </c>
      <c r="BU153" t="s">
        <v>303</v>
      </c>
      <c r="BV153" t="s">
        <v>304</v>
      </c>
      <c r="BX153" t="s">
        <v>324</v>
      </c>
      <c r="BY153" t="s">
        <v>298</v>
      </c>
      <c r="BZ153" t="s">
        <v>491</v>
      </c>
      <c r="CA153" t="s">
        <v>511</v>
      </c>
      <c r="CC153" t="s">
        <v>308</v>
      </c>
      <c r="CD153" t="s">
        <v>309</v>
      </c>
      <c r="CE153" t="s">
        <v>294</v>
      </c>
      <c r="CK153" t="s">
        <v>382</v>
      </c>
      <c r="CL153" t="s">
        <v>328</v>
      </c>
      <c r="CM153" t="s">
        <v>327</v>
      </c>
      <c r="CN153" t="s">
        <v>328</v>
      </c>
      <c r="CO153" t="s">
        <v>672</v>
      </c>
      <c r="CP153" t="s">
        <v>673</v>
      </c>
      <c r="CQ153" t="s">
        <v>861</v>
      </c>
      <c r="CR153" t="s">
        <v>675</v>
      </c>
      <c r="CS153" t="s">
        <v>862</v>
      </c>
      <c r="CT153" t="s">
        <v>294</v>
      </c>
      <c r="CU153" t="s">
        <v>313</v>
      </c>
      <c r="CV153" t="s">
        <v>314</v>
      </c>
      <c r="CW153" t="s">
        <v>315</v>
      </c>
      <c r="CX153" t="s">
        <v>316</v>
      </c>
      <c r="CZ153" t="s">
        <v>289</v>
      </c>
      <c r="DA153" t="s">
        <v>289</v>
      </c>
      <c r="DB153" t="s">
        <v>289</v>
      </c>
      <c r="DC153" t="s">
        <v>289</v>
      </c>
      <c r="DI153" t="s">
        <v>289</v>
      </c>
      <c r="DL153" t="s">
        <v>289</v>
      </c>
      <c r="DM153" t="s">
        <v>317</v>
      </c>
      <c r="DS153" t="s">
        <v>289</v>
      </c>
      <c r="DT153" t="s">
        <v>289</v>
      </c>
      <c r="DU153" t="s">
        <v>318</v>
      </c>
      <c r="DV153" t="s">
        <v>289</v>
      </c>
      <c r="DX153" t="s">
        <v>319</v>
      </c>
      <c r="EA153" t="s">
        <v>289</v>
      </c>
    </row>
    <row r="154" spans="1:231" x14ac:dyDescent="0.25">
      <c r="A154">
        <v>23394213</v>
      </c>
      <c r="B154">
        <v>956668</v>
      </c>
      <c r="C154" t="str">
        <f>"150707601229"</f>
        <v>150707601229</v>
      </c>
      <c r="D154" t="s">
        <v>863</v>
      </c>
      <c r="E154" t="s">
        <v>484</v>
      </c>
      <c r="F154" t="s">
        <v>685</v>
      </c>
      <c r="G154" s="1">
        <v>42192</v>
      </c>
      <c r="I154" t="s">
        <v>286</v>
      </c>
      <c r="J154" t="s">
        <v>287</v>
      </c>
      <c r="K154" t="s">
        <v>288</v>
      </c>
      <c r="Q154" t="s">
        <v>289</v>
      </c>
      <c r="R154" t="str">
        <f>"КАЗАХСТАН, АКМОЛИНСКАЯ, ЗЕРЕНДИНСКИЙ РАЙОН, Зерендинский, Зеренда, 41"</f>
        <v>КАЗАХСТАН, АКМОЛИНСКАЯ, ЗЕРЕНДИНСКИЙ РАЙОН, Зерендинский, Зеренда, 41</v>
      </c>
      <c r="S154" t="str">
        <f>"ҚАЗАҚСТАН, АҚМОЛА, ЗЕРЕНДІ АУДАНЫ, Зерендинский, Зеренда, 41"</f>
        <v>ҚАЗАҚСТАН, АҚМОЛА, ЗЕРЕНДІ АУДАНЫ, Зерендинский, Зеренда, 41</v>
      </c>
      <c r="T154" t="str">
        <f>"Зерендинский, Зеренда, 41"</f>
        <v>Зерендинский, Зеренда, 41</v>
      </c>
      <c r="U154" t="str">
        <f>"Зерендинский, Зеренда, 41"</f>
        <v>Зерендинский, Зеренда, 41</v>
      </c>
      <c r="AC154" t="str">
        <f>"2022-08-25T00:00:00"</f>
        <v>2022-08-25T00:00:00</v>
      </c>
      <c r="AD154" t="str">
        <f>"46"</f>
        <v>46</v>
      </c>
      <c r="AE154" t="str">
        <f>"2024-09-01T12:05:49"</f>
        <v>2024-09-01T12:05:49</v>
      </c>
      <c r="AF154" t="str">
        <f>"2025-05-25T12:05:49"</f>
        <v>2025-05-25T12:05:49</v>
      </c>
      <c r="AG154" t="s">
        <v>290</v>
      </c>
      <c r="AI154" t="s">
        <v>291</v>
      </c>
      <c r="AK154" t="s">
        <v>786</v>
      </c>
      <c r="AP154" t="s">
        <v>293</v>
      </c>
      <c r="AQ154" t="s">
        <v>289</v>
      </c>
      <c r="AT154" t="s">
        <v>294</v>
      </c>
      <c r="AU154" t="s">
        <v>295</v>
      </c>
      <c r="AW154" t="s">
        <v>296</v>
      </c>
      <c r="AX154">
        <v>2</v>
      </c>
      <c r="AY154" t="s">
        <v>297</v>
      </c>
      <c r="AZ154" t="s">
        <v>298</v>
      </c>
      <c r="BA154" t="s">
        <v>299</v>
      </c>
      <c r="BF154" t="s">
        <v>294</v>
      </c>
      <c r="BG154" t="s">
        <v>300</v>
      </c>
      <c r="BI154" t="s">
        <v>298</v>
      </c>
      <c r="BR154" t="s">
        <v>289</v>
      </c>
      <c r="BS154" t="s">
        <v>301</v>
      </c>
      <c r="BT154" t="s">
        <v>302</v>
      </c>
      <c r="BU154" t="s">
        <v>303</v>
      </c>
      <c r="BV154" t="s">
        <v>365</v>
      </c>
      <c r="BX154" t="s">
        <v>324</v>
      </c>
      <c r="BY154" t="s">
        <v>298</v>
      </c>
      <c r="BZ154" t="s">
        <v>306</v>
      </c>
      <c r="CA154" t="s">
        <v>387</v>
      </c>
      <c r="CC154" t="s">
        <v>308</v>
      </c>
      <c r="CD154" t="s">
        <v>309</v>
      </c>
      <c r="CE154" t="s">
        <v>289</v>
      </c>
      <c r="CJ154" t="s">
        <v>704</v>
      </c>
      <c r="CK154" t="s">
        <v>807</v>
      </c>
      <c r="CL154" t="s">
        <v>311</v>
      </c>
      <c r="CM154" t="s">
        <v>864</v>
      </c>
      <c r="CN154" t="s">
        <v>311</v>
      </c>
      <c r="CO154" t="s">
        <v>312</v>
      </c>
      <c r="CT154" t="s">
        <v>294</v>
      </c>
      <c r="CU154" t="s">
        <v>313</v>
      </c>
      <c r="CV154" t="s">
        <v>314</v>
      </c>
      <c r="CW154" t="s">
        <v>315</v>
      </c>
      <c r="CX154" t="s">
        <v>316</v>
      </c>
      <c r="CZ154" t="s">
        <v>289</v>
      </c>
      <c r="DA154" t="s">
        <v>289</v>
      </c>
      <c r="DB154" t="s">
        <v>289</v>
      </c>
      <c r="DC154" t="s">
        <v>289</v>
      </c>
      <c r="DI154" t="s">
        <v>289</v>
      </c>
      <c r="DL154" t="s">
        <v>289</v>
      </c>
      <c r="DM154" t="s">
        <v>317</v>
      </c>
      <c r="DS154" t="s">
        <v>289</v>
      </c>
      <c r="DT154" t="s">
        <v>289</v>
      </c>
      <c r="DU154" t="s">
        <v>318</v>
      </c>
      <c r="DV154" t="s">
        <v>289</v>
      </c>
      <c r="DX154" t="s">
        <v>319</v>
      </c>
      <c r="EA154" t="s">
        <v>294</v>
      </c>
    </row>
    <row r="155" spans="1:231" x14ac:dyDescent="0.25">
      <c r="A155">
        <v>23420568</v>
      </c>
      <c r="B155">
        <v>641000</v>
      </c>
      <c r="C155" t="str">
        <f>"160911601557"</f>
        <v>160911601557</v>
      </c>
      <c r="D155" t="s">
        <v>720</v>
      </c>
      <c r="E155" t="s">
        <v>865</v>
      </c>
      <c r="F155" t="s">
        <v>722</v>
      </c>
      <c r="G155" s="1">
        <v>42624</v>
      </c>
      <c r="I155" t="s">
        <v>286</v>
      </c>
      <c r="J155" t="s">
        <v>287</v>
      </c>
      <c r="K155" t="s">
        <v>288</v>
      </c>
      <c r="Q155" t="s">
        <v>289</v>
      </c>
      <c r="R155" t="str">
        <f>"КАЗАХСТАН, АКМОЛИНСКАЯ, ЗЕРЕНДИНСКИЙ РАЙОН, ЗЕРЕНДІ, 16, 7"</f>
        <v>КАЗАХСТАН, АКМОЛИНСКАЯ, ЗЕРЕНДИНСКИЙ РАЙОН, ЗЕРЕНДІ, 16, 7</v>
      </c>
      <c r="S155" t="str">
        <f>"ҚАЗАҚСТАН, АҚМОЛА, ЗЕРЕНДІ АУДАНЫ, ЗЕРЕНДІ, 16, 7"</f>
        <v>ҚАЗАҚСТАН, АҚМОЛА, ЗЕРЕНДІ АУДАНЫ, ЗЕРЕНДІ, 16, 7</v>
      </c>
      <c r="T155" t="str">
        <f>"ЗЕРЕНДІ, 16, 7"</f>
        <v>ЗЕРЕНДІ, 16, 7</v>
      </c>
      <c r="U155" t="str">
        <f>"ЗЕРЕНДІ, 16, 7"</f>
        <v>ЗЕРЕНДІ, 16, 7</v>
      </c>
      <c r="AC155" t="str">
        <f>"2022-08-25T00:00:00"</f>
        <v>2022-08-25T00:00:00</v>
      </c>
      <c r="AD155" t="str">
        <f>"48"</f>
        <v>48</v>
      </c>
      <c r="AE155" t="str">
        <f>"2024-09-01T12:01:36"</f>
        <v>2024-09-01T12:01:36</v>
      </c>
      <c r="AF155" t="str">
        <f>"2025-05-25T12:01:36"</f>
        <v>2025-05-25T12:01:36</v>
      </c>
      <c r="AG155" t="s">
        <v>290</v>
      </c>
      <c r="AI155" t="s">
        <v>291</v>
      </c>
      <c r="AK155" t="s">
        <v>866</v>
      </c>
      <c r="AP155" t="s">
        <v>293</v>
      </c>
      <c r="AQ155" t="s">
        <v>289</v>
      </c>
      <c r="AT155" t="s">
        <v>294</v>
      </c>
      <c r="AU155" t="s">
        <v>295</v>
      </c>
      <c r="AW155" t="s">
        <v>296</v>
      </c>
      <c r="AX155">
        <v>1</v>
      </c>
      <c r="AY155" t="s">
        <v>297</v>
      </c>
      <c r="AZ155" t="s">
        <v>298</v>
      </c>
      <c r="BA155" t="s">
        <v>299</v>
      </c>
      <c r="BF155" t="s">
        <v>294</v>
      </c>
      <c r="BG155" t="s">
        <v>300</v>
      </c>
      <c r="BI155" t="s">
        <v>298</v>
      </c>
      <c r="BR155" t="s">
        <v>289</v>
      </c>
      <c r="BS155" t="s">
        <v>301</v>
      </c>
      <c r="BT155" t="s">
        <v>302</v>
      </c>
      <c r="BU155" t="s">
        <v>303</v>
      </c>
      <c r="BV155" t="s">
        <v>365</v>
      </c>
      <c r="BX155" t="s">
        <v>867</v>
      </c>
      <c r="BY155" t="s">
        <v>298</v>
      </c>
      <c r="CC155" t="s">
        <v>309</v>
      </c>
      <c r="CE155" t="s">
        <v>289</v>
      </c>
      <c r="CJ155" s="2">
        <v>45566</v>
      </c>
      <c r="CK155" t="s">
        <v>868</v>
      </c>
      <c r="CL155" t="s">
        <v>311</v>
      </c>
      <c r="CM155" t="s">
        <v>869</v>
      </c>
      <c r="CN155" t="s">
        <v>311</v>
      </c>
      <c r="CO155" t="s">
        <v>312</v>
      </c>
      <c r="CT155" t="s">
        <v>294</v>
      </c>
      <c r="CU155" t="s">
        <v>313</v>
      </c>
      <c r="CV155" t="s">
        <v>314</v>
      </c>
      <c r="CW155" t="s">
        <v>315</v>
      </c>
      <c r="CX155" t="s">
        <v>316</v>
      </c>
      <c r="CZ155" t="s">
        <v>289</v>
      </c>
      <c r="DA155" t="s">
        <v>289</v>
      </c>
      <c r="DB155" t="s">
        <v>289</v>
      </c>
      <c r="DC155" t="s">
        <v>289</v>
      </c>
      <c r="DI155" t="s">
        <v>289</v>
      </c>
      <c r="DL155" t="s">
        <v>289</v>
      </c>
      <c r="DM155" t="s">
        <v>317</v>
      </c>
      <c r="DS155" t="s">
        <v>289</v>
      </c>
      <c r="DT155" t="s">
        <v>289</v>
      </c>
      <c r="DU155" t="s">
        <v>318</v>
      </c>
      <c r="DV155" t="s">
        <v>289</v>
      </c>
      <c r="DX155" t="s">
        <v>319</v>
      </c>
      <c r="EA155" t="s">
        <v>289</v>
      </c>
      <c r="HW155" t="s">
        <v>294</v>
      </c>
    </row>
    <row r="156" spans="1:231" x14ac:dyDescent="0.25">
      <c r="A156">
        <v>23420804</v>
      </c>
      <c r="B156">
        <v>11703365</v>
      </c>
      <c r="C156" t="str">
        <f>"170618603413"</f>
        <v>170618603413</v>
      </c>
      <c r="D156" t="s">
        <v>477</v>
      </c>
      <c r="E156" t="s">
        <v>870</v>
      </c>
      <c r="F156" t="s">
        <v>479</v>
      </c>
      <c r="G156" s="1">
        <v>42904</v>
      </c>
      <c r="I156" t="s">
        <v>286</v>
      </c>
      <c r="J156" t="s">
        <v>287</v>
      </c>
      <c r="K156" t="s">
        <v>288</v>
      </c>
      <c r="Q156" t="s">
        <v>289</v>
      </c>
      <c r="R156" t="str">
        <f>"КАЗАХСТАН, АКМОЛИНСКАЯ, ЗЕРЕНДИНСКИЙ РАЙОН, Зерендинский, Зеренда, 95"</f>
        <v>КАЗАХСТАН, АКМОЛИНСКАЯ, ЗЕРЕНДИНСКИЙ РАЙОН, Зерендинский, Зеренда, 95</v>
      </c>
      <c r="S156" t="str">
        <f>"ҚАЗАҚСТАН, АҚМОЛА, ЗЕРЕНДІ АУДАНЫ, Зерендинский, Зеренда, 95"</f>
        <v>ҚАЗАҚСТАН, АҚМОЛА, ЗЕРЕНДІ АУДАНЫ, Зерендинский, Зеренда, 95</v>
      </c>
      <c r="T156" t="str">
        <f>"Зерендинский, Зеренда, 95"</f>
        <v>Зерендинский, Зеренда, 95</v>
      </c>
      <c r="U156" t="str">
        <f>"Зерендинский, Зеренда, 95"</f>
        <v>Зерендинский, Зеренда, 95</v>
      </c>
      <c r="AC156" t="str">
        <f>"2022-08-25T00:00:00"</f>
        <v>2022-08-25T00:00:00</v>
      </c>
      <c r="AD156" t="str">
        <f>"48"</f>
        <v>48</v>
      </c>
      <c r="AE156" t="str">
        <f>"2024-09-01T09:40:08"</f>
        <v>2024-09-01T09:40:08</v>
      </c>
      <c r="AF156" t="str">
        <f>"2025-05-25T09:40:08"</f>
        <v>2025-05-25T09:40:08</v>
      </c>
      <c r="AG156" t="s">
        <v>290</v>
      </c>
      <c r="AI156" t="s">
        <v>558</v>
      </c>
      <c r="AK156" t="s">
        <v>866</v>
      </c>
      <c r="AP156" t="s">
        <v>293</v>
      </c>
      <c r="AT156" t="s">
        <v>294</v>
      </c>
      <c r="AU156" t="s">
        <v>295</v>
      </c>
      <c r="AW156" t="s">
        <v>296</v>
      </c>
      <c r="AX156">
        <v>1</v>
      </c>
      <c r="AY156" t="s">
        <v>297</v>
      </c>
      <c r="AZ156" t="s">
        <v>298</v>
      </c>
      <c r="BA156" t="s">
        <v>323</v>
      </c>
      <c r="BF156" t="s">
        <v>294</v>
      </c>
      <c r="BG156" t="s">
        <v>300</v>
      </c>
      <c r="BI156" t="s">
        <v>298</v>
      </c>
      <c r="BR156" t="s">
        <v>289</v>
      </c>
      <c r="BS156" t="s">
        <v>301</v>
      </c>
      <c r="BT156" t="s">
        <v>302</v>
      </c>
      <c r="BU156" t="s">
        <v>303</v>
      </c>
      <c r="BV156" t="s">
        <v>365</v>
      </c>
      <c r="BX156" t="s">
        <v>867</v>
      </c>
      <c r="BY156" t="s">
        <v>298</v>
      </c>
      <c r="CC156" t="s">
        <v>309</v>
      </c>
      <c r="CE156" t="s">
        <v>289</v>
      </c>
      <c r="CJ156" s="2">
        <v>45566</v>
      </c>
      <c r="CK156" t="s">
        <v>335</v>
      </c>
      <c r="CM156" t="s">
        <v>467</v>
      </c>
      <c r="CN156" t="s">
        <v>328</v>
      </c>
      <c r="CO156" t="s">
        <v>312</v>
      </c>
      <c r="CT156" t="s">
        <v>294</v>
      </c>
      <c r="CU156" t="s">
        <v>313</v>
      </c>
      <c r="CV156" t="s">
        <v>314</v>
      </c>
      <c r="CW156" t="s">
        <v>315</v>
      </c>
      <c r="CX156" t="s">
        <v>316</v>
      </c>
      <c r="CZ156" t="s">
        <v>289</v>
      </c>
      <c r="DA156" t="s">
        <v>289</v>
      </c>
      <c r="DB156" t="s">
        <v>289</v>
      </c>
      <c r="DC156" t="s">
        <v>289</v>
      </c>
      <c r="DI156" t="s">
        <v>289</v>
      </c>
      <c r="DL156" t="s">
        <v>289</v>
      </c>
      <c r="DM156" t="s">
        <v>317</v>
      </c>
      <c r="DS156" t="s">
        <v>289</v>
      </c>
      <c r="DT156" t="s">
        <v>289</v>
      </c>
      <c r="DU156" t="s">
        <v>318</v>
      </c>
      <c r="DV156" t="s">
        <v>289</v>
      </c>
      <c r="DX156" t="s">
        <v>319</v>
      </c>
      <c r="EA156" t="s">
        <v>294</v>
      </c>
      <c r="HW156" t="s">
        <v>294</v>
      </c>
    </row>
    <row r="157" spans="1:231" x14ac:dyDescent="0.25">
      <c r="A157">
        <v>23421095</v>
      </c>
      <c r="B157">
        <v>550718</v>
      </c>
      <c r="C157" t="str">
        <f>"160803503946"</f>
        <v>160803503946</v>
      </c>
      <c r="D157" t="s">
        <v>563</v>
      </c>
      <c r="E157" t="s">
        <v>488</v>
      </c>
      <c r="F157" t="s">
        <v>871</v>
      </c>
      <c r="G157" s="1">
        <v>42585</v>
      </c>
      <c r="I157" t="s">
        <v>353</v>
      </c>
      <c r="J157" t="s">
        <v>287</v>
      </c>
      <c r="K157" t="s">
        <v>288</v>
      </c>
      <c r="Q157" t="s">
        <v>289</v>
      </c>
      <c r="R157" t="str">
        <f>"КАЗАХСТАН, АКМОЛИНСКАЯ, ЗЕРЕНДИНСКИЙ РАЙОН, ЗЕРЕНДІ, 16, 5"</f>
        <v>КАЗАХСТАН, АКМОЛИНСКАЯ, ЗЕРЕНДИНСКИЙ РАЙОН, ЗЕРЕНДІ, 16, 5</v>
      </c>
      <c r="S157" t="str">
        <f>"ҚАЗАҚСТАН, АҚМОЛА, ЗЕРЕНДІ АУДАНЫ, ЗЕРЕНДІ, 16, 5"</f>
        <v>ҚАЗАҚСТАН, АҚМОЛА, ЗЕРЕНДІ АУДАНЫ, ЗЕРЕНДІ, 16, 5</v>
      </c>
      <c r="T157" t="str">
        <f>"ЗЕРЕНДІ, 16, 5"</f>
        <v>ЗЕРЕНДІ, 16, 5</v>
      </c>
      <c r="U157" t="str">
        <f>"ЗЕРЕНДІ, 16, 5"</f>
        <v>ЗЕРЕНДІ, 16, 5</v>
      </c>
      <c r="AC157" t="str">
        <f>"2022-08-25T00:00:00"</f>
        <v>2022-08-25T00:00:00</v>
      </c>
      <c r="AD157" t="str">
        <f>"48"</f>
        <v>48</v>
      </c>
      <c r="AE157" t="str">
        <f>"2024-09-01T09:41:23"</f>
        <v>2024-09-01T09:41:23</v>
      </c>
      <c r="AF157" t="str">
        <f>"2025-05-25T09:41:23"</f>
        <v>2025-05-25T09:41:23</v>
      </c>
      <c r="AG157" t="s">
        <v>290</v>
      </c>
      <c r="AI157" t="s">
        <v>291</v>
      </c>
      <c r="AK157" t="s">
        <v>866</v>
      </c>
      <c r="AP157" t="s">
        <v>293</v>
      </c>
      <c r="AT157" t="s">
        <v>294</v>
      </c>
      <c r="AU157" t="s">
        <v>295</v>
      </c>
      <c r="AW157" t="s">
        <v>296</v>
      </c>
      <c r="AX157">
        <v>1</v>
      </c>
      <c r="AY157" t="s">
        <v>297</v>
      </c>
      <c r="AZ157" t="s">
        <v>298</v>
      </c>
      <c r="BA157" t="s">
        <v>299</v>
      </c>
      <c r="BF157" t="s">
        <v>294</v>
      </c>
      <c r="BG157" t="s">
        <v>300</v>
      </c>
      <c r="BI157" t="s">
        <v>298</v>
      </c>
      <c r="BR157" t="s">
        <v>289</v>
      </c>
      <c r="BS157" t="s">
        <v>301</v>
      </c>
      <c r="BT157" t="s">
        <v>302</v>
      </c>
      <c r="BU157" t="s">
        <v>303</v>
      </c>
      <c r="BV157" t="s">
        <v>365</v>
      </c>
      <c r="BX157" t="s">
        <v>867</v>
      </c>
      <c r="BY157" t="s">
        <v>298</v>
      </c>
      <c r="CC157" t="s">
        <v>309</v>
      </c>
      <c r="CE157" t="s">
        <v>289</v>
      </c>
      <c r="CJ157" s="2">
        <v>45566</v>
      </c>
      <c r="CK157" t="s">
        <v>471</v>
      </c>
      <c r="CL157" t="s">
        <v>328</v>
      </c>
      <c r="CM157" t="s">
        <v>298</v>
      </c>
      <c r="CO157" t="s">
        <v>312</v>
      </c>
      <c r="CT157" t="s">
        <v>294</v>
      </c>
      <c r="CU157" t="s">
        <v>313</v>
      </c>
      <c r="CV157" t="s">
        <v>314</v>
      </c>
      <c r="CW157" t="s">
        <v>315</v>
      </c>
      <c r="CX157" t="s">
        <v>316</v>
      </c>
      <c r="CZ157" t="s">
        <v>289</v>
      </c>
      <c r="DA157" t="s">
        <v>289</v>
      </c>
      <c r="DB157" t="s">
        <v>289</v>
      </c>
      <c r="DC157" t="s">
        <v>289</v>
      </c>
      <c r="DI157" t="s">
        <v>289</v>
      </c>
      <c r="DL157" t="s">
        <v>289</v>
      </c>
      <c r="DM157" t="s">
        <v>317</v>
      </c>
      <c r="DS157" t="s">
        <v>289</v>
      </c>
      <c r="DT157" t="s">
        <v>289</v>
      </c>
      <c r="DU157" t="s">
        <v>318</v>
      </c>
      <c r="DV157" t="s">
        <v>289</v>
      </c>
      <c r="DX157" t="s">
        <v>319</v>
      </c>
      <c r="EA157" t="s">
        <v>289</v>
      </c>
      <c r="HW157" t="s">
        <v>294</v>
      </c>
    </row>
    <row r="158" spans="1:231" x14ac:dyDescent="0.25">
      <c r="A158">
        <v>23421637</v>
      </c>
      <c r="B158">
        <v>956942</v>
      </c>
      <c r="C158" t="str">
        <f>"160719504363"</f>
        <v>160719504363</v>
      </c>
      <c r="D158" t="s">
        <v>448</v>
      </c>
      <c r="E158" t="s">
        <v>481</v>
      </c>
      <c r="F158" t="s">
        <v>872</v>
      </c>
      <c r="G158" s="1">
        <v>42570</v>
      </c>
      <c r="I158" t="s">
        <v>353</v>
      </c>
      <c r="J158" t="s">
        <v>287</v>
      </c>
      <c r="K158" t="s">
        <v>288</v>
      </c>
      <c r="Q158" t="s">
        <v>289</v>
      </c>
      <c r="R158" t="str">
        <f>"КАЗАХСТАН, АКМОЛИНСКАЯ, ЗЕРЕНДИНСКИЙ РАЙОН, Зерендинский, Зеренда, 23, 6"</f>
        <v>КАЗАХСТАН, АКМОЛИНСКАЯ, ЗЕРЕНДИНСКИЙ РАЙОН, Зерендинский, Зеренда, 23, 6</v>
      </c>
      <c r="S158" t="str">
        <f>"ҚАЗАҚСТАН, АҚМОЛА, ЗЕРЕНДІ АУДАНЫ, Зерендинский, Зеренда, 23, 6"</f>
        <v>ҚАЗАҚСТАН, АҚМОЛА, ЗЕРЕНДІ АУДАНЫ, Зерендинский, Зеренда, 23, 6</v>
      </c>
      <c r="T158" t="str">
        <f>"Зерендинский, Зеренда, 23, 6"</f>
        <v>Зерендинский, Зеренда, 23, 6</v>
      </c>
      <c r="U158" t="str">
        <f>"Зерендинский, Зеренда, 23, 6"</f>
        <v>Зерендинский, Зеренда, 23, 6</v>
      </c>
      <c r="AC158" t="str">
        <f>"2022-08-25T00:00:00"</f>
        <v>2022-08-25T00:00:00</v>
      </c>
      <c r="AD158" t="str">
        <f>"48"</f>
        <v>48</v>
      </c>
      <c r="AE158" t="str">
        <f>"2024-09-01T09:42:38"</f>
        <v>2024-09-01T09:42:38</v>
      </c>
      <c r="AF158" t="str">
        <f>"2025-05-25T09:42:38"</f>
        <v>2025-05-25T09:42:38</v>
      </c>
      <c r="AG158" t="s">
        <v>290</v>
      </c>
      <c r="AI158" t="s">
        <v>291</v>
      </c>
      <c r="AK158" t="s">
        <v>866</v>
      </c>
      <c r="AP158" t="s">
        <v>293</v>
      </c>
      <c r="AT158" t="s">
        <v>294</v>
      </c>
      <c r="AU158" t="s">
        <v>295</v>
      </c>
      <c r="AW158" t="s">
        <v>296</v>
      </c>
      <c r="AX158">
        <v>1</v>
      </c>
      <c r="AY158" t="s">
        <v>297</v>
      </c>
      <c r="AZ158" t="s">
        <v>298</v>
      </c>
      <c r="BA158" t="s">
        <v>299</v>
      </c>
      <c r="BF158" t="s">
        <v>294</v>
      </c>
      <c r="BG158" t="s">
        <v>300</v>
      </c>
      <c r="BI158" t="s">
        <v>298</v>
      </c>
      <c r="BR158" t="s">
        <v>289</v>
      </c>
      <c r="BS158" t="s">
        <v>301</v>
      </c>
      <c r="BT158" t="s">
        <v>302</v>
      </c>
      <c r="BU158" t="s">
        <v>303</v>
      </c>
      <c r="BV158" t="s">
        <v>365</v>
      </c>
      <c r="BX158" t="s">
        <v>867</v>
      </c>
      <c r="BY158" t="s">
        <v>298</v>
      </c>
      <c r="CC158" t="s">
        <v>309</v>
      </c>
      <c r="CE158" t="s">
        <v>289</v>
      </c>
      <c r="CJ158" s="2">
        <v>45566</v>
      </c>
      <c r="CK158" t="s">
        <v>471</v>
      </c>
      <c r="CL158" t="s">
        <v>328</v>
      </c>
      <c r="CM158" t="s">
        <v>298</v>
      </c>
      <c r="CO158" t="s">
        <v>312</v>
      </c>
      <c r="CT158" t="s">
        <v>294</v>
      </c>
      <c r="CU158" t="s">
        <v>313</v>
      </c>
      <c r="CV158" t="s">
        <v>314</v>
      </c>
      <c r="CW158" t="s">
        <v>315</v>
      </c>
      <c r="CX158" t="s">
        <v>316</v>
      </c>
      <c r="CZ158" t="s">
        <v>289</v>
      </c>
      <c r="DA158" t="s">
        <v>289</v>
      </c>
      <c r="DB158" t="s">
        <v>289</v>
      </c>
      <c r="DC158" t="s">
        <v>289</v>
      </c>
      <c r="DI158" t="s">
        <v>289</v>
      </c>
      <c r="DL158" t="s">
        <v>289</v>
      </c>
      <c r="DM158" t="s">
        <v>317</v>
      </c>
      <c r="DS158" t="s">
        <v>289</v>
      </c>
      <c r="DT158" t="s">
        <v>289</v>
      </c>
      <c r="DU158" t="s">
        <v>318</v>
      </c>
      <c r="DV158" t="s">
        <v>289</v>
      </c>
      <c r="DX158" t="s">
        <v>319</v>
      </c>
      <c r="EA158" t="s">
        <v>294</v>
      </c>
      <c r="HW158" t="s">
        <v>294</v>
      </c>
    </row>
    <row r="159" spans="1:231" x14ac:dyDescent="0.25">
      <c r="A159">
        <v>23421872</v>
      </c>
      <c r="B159">
        <v>8988250</v>
      </c>
      <c r="C159" t="str">
        <f>"170110602205"</f>
        <v>170110602205</v>
      </c>
      <c r="D159" t="s">
        <v>873</v>
      </c>
      <c r="E159" t="s">
        <v>640</v>
      </c>
      <c r="F159" t="s">
        <v>874</v>
      </c>
      <c r="G159" s="1">
        <v>42745</v>
      </c>
      <c r="I159" t="s">
        <v>286</v>
      </c>
      <c r="J159" t="s">
        <v>287</v>
      </c>
      <c r="K159" t="s">
        <v>288</v>
      </c>
      <c r="Q159" t="s">
        <v>289</v>
      </c>
      <c r="R159" t="str">
        <f>"КАЗАХСТАН, АКМОЛИНСКАЯ, ЗЕРЕНДИНСКИЙ РАЙОН, Зерендинский, Зеренда, 7, 2"</f>
        <v>КАЗАХСТАН, АКМОЛИНСКАЯ, ЗЕРЕНДИНСКИЙ РАЙОН, Зерендинский, Зеренда, 7, 2</v>
      </c>
      <c r="S159" t="str">
        <f>"ҚАЗАҚСТАН, АҚМОЛА, ЗЕРЕНДІ АУДАНЫ, Зерендинский, Зеренда, 7, 2"</f>
        <v>ҚАЗАҚСТАН, АҚМОЛА, ЗЕРЕНДІ АУДАНЫ, Зерендинский, Зеренда, 7, 2</v>
      </c>
      <c r="T159" t="str">
        <f>"Зерендинский, Зеренда, 7, 2"</f>
        <v>Зерендинский, Зеренда, 7, 2</v>
      </c>
      <c r="U159" t="str">
        <f>"Зерендинский, Зеренда, 7, 2"</f>
        <v>Зерендинский, Зеренда, 7, 2</v>
      </c>
      <c r="AC159" t="str">
        <f>"2022-08-25T00:00:00"</f>
        <v>2022-08-25T00:00:00</v>
      </c>
      <c r="AD159" t="str">
        <f>"48"</f>
        <v>48</v>
      </c>
      <c r="AE159" t="str">
        <f>"2024-09-01T10:10:15"</f>
        <v>2024-09-01T10:10:15</v>
      </c>
      <c r="AF159" t="str">
        <f>"2025-05-25T10:10:15"</f>
        <v>2025-05-25T10:10:15</v>
      </c>
      <c r="AG159" t="s">
        <v>290</v>
      </c>
      <c r="AI159" t="s">
        <v>373</v>
      </c>
      <c r="AK159" t="s">
        <v>866</v>
      </c>
      <c r="AP159" t="s">
        <v>342</v>
      </c>
      <c r="AT159" t="s">
        <v>294</v>
      </c>
      <c r="AU159" t="s">
        <v>295</v>
      </c>
      <c r="AW159" t="s">
        <v>296</v>
      </c>
      <c r="AX159">
        <v>1</v>
      </c>
      <c r="AY159" t="s">
        <v>297</v>
      </c>
      <c r="AZ159" t="s">
        <v>298</v>
      </c>
      <c r="BA159" t="s">
        <v>299</v>
      </c>
      <c r="BF159" t="s">
        <v>294</v>
      </c>
      <c r="BG159" t="s">
        <v>300</v>
      </c>
      <c r="BI159" t="s">
        <v>298</v>
      </c>
      <c r="BR159" t="s">
        <v>289</v>
      </c>
      <c r="BS159" t="s">
        <v>301</v>
      </c>
      <c r="BT159" t="s">
        <v>302</v>
      </c>
      <c r="BU159" t="s">
        <v>303</v>
      </c>
      <c r="BV159" t="s">
        <v>365</v>
      </c>
      <c r="BX159" t="s">
        <v>867</v>
      </c>
      <c r="BY159" t="s">
        <v>298</v>
      </c>
      <c r="CC159" t="s">
        <v>309</v>
      </c>
      <c r="CE159" t="s">
        <v>289</v>
      </c>
      <c r="CJ159" s="2">
        <v>45566</v>
      </c>
      <c r="CK159" t="s">
        <v>467</v>
      </c>
      <c r="CL159" t="s">
        <v>328</v>
      </c>
      <c r="CM159" t="s">
        <v>298</v>
      </c>
      <c r="CO159" t="s">
        <v>312</v>
      </c>
      <c r="CT159" t="s">
        <v>294</v>
      </c>
      <c r="CU159" t="s">
        <v>313</v>
      </c>
      <c r="CV159" t="s">
        <v>314</v>
      </c>
      <c r="CW159" t="s">
        <v>315</v>
      </c>
      <c r="CX159" t="s">
        <v>316</v>
      </c>
      <c r="CZ159" t="s">
        <v>289</v>
      </c>
      <c r="DA159" t="s">
        <v>289</v>
      </c>
      <c r="DB159" t="s">
        <v>289</v>
      </c>
      <c r="DC159" t="s">
        <v>289</v>
      </c>
      <c r="DI159" t="s">
        <v>289</v>
      </c>
      <c r="DL159" t="s">
        <v>289</v>
      </c>
      <c r="DM159" t="s">
        <v>317</v>
      </c>
      <c r="DS159" t="s">
        <v>289</v>
      </c>
      <c r="DT159" t="s">
        <v>289</v>
      </c>
      <c r="DU159" t="s">
        <v>318</v>
      </c>
      <c r="DV159" t="s">
        <v>289</v>
      </c>
      <c r="DX159" t="s">
        <v>319</v>
      </c>
      <c r="EA159" t="s">
        <v>289</v>
      </c>
      <c r="HW159" t="s">
        <v>294</v>
      </c>
    </row>
    <row r="160" spans="1:231" x14ac:dyDescent="0.25">
      <c r="A160">
        <v>23422088</v>
      </c>
      <c r="B160">
        <v>956950</v>
      </c>
      <c r="C160" t="str">
        <f>"160719603301"</f>
        <v>160719603301</v>
      </c>
      <c r="D160" t="s">
        <v>448</v>
      </c>
      <c r="E160" t="s">
        <v>574</v>
      </c>
      <c r="F160" t="s">
        <v>450</v>
      </c>
      <c r="G160" s="1">
        <v>42570</v>
      </c>
      <c r="I160" t="s">
        <v>286</v>
      </c>
      <c r="J160" t="s">
        <v>287</v>
      </c>
      <c r="K160" t="s">
        <v>288</v>
      </c>
      <c r="Q160" t="s">
        <v>289</v>
      </c>
      <c r="R160" t="str">
        <f>"КАЗАХСТАН, АКМОЛИНСКАЯ, ЗЕРЕНДИНСКИЙ РАЙОН, Зерендинский, Зеренда, 23, 6"</f>
        <v>КАЗАХСТАН, АКМОЛИНСКАЯ, ЗЕРЕНДИНСКИЙ РАЙОН, Зерендинский, Зеренда, 23, 6</v>
      </c>
      <c r="S160" t="str">
        <f>"ҚАЗАҚСТАН, АҚМОЛА, ЗЕРЕНДІ АУДАНЫ, Зерендинский, Зеренда, 23, 6"</f>
        <v>ҚАЗАҚСТАН, АҚМОЛА, ЗЕРЕНДІ АУДАНЫ, Зерендинский, Зеренда, 23, 6</v>
      </c>
      <c r="T160" t="str">
        <f>"Зерендинский, Зеренда, 23, 6"</f>
        <v>Зерендинский, Зеренда, 23, 6</v>
      </c>
      <c r="U160" t="str">
        <f>"Зерендинский, Зеренда, 23, 6"</f>
        <v>Зерендинский, Зеренда, 23, 6</v>
      </c>
      <c r="AC160" t="str">
        <f>"2022-08-25T00:00:00"</f>
        <v>2022-08-25T00:00:00</v>
      </c>
      <c r="AD160" t="str">
        <f>"48"</f>
        <v>48</v>
      </c>
      <c r="AE160" t="str">
        <f>"2024-09-01T09:43:23"</f>
        <v>2024-09-01T09:43:23</v>
      </c>
      <c r="AF160" t="str">
        <f>"2025-05-25T09:43:23"</f>
        <v>2025-05-25T09:43:23</v>
      </c>
      <c r="AG160" t="s">
        <v>290</v>
      </c>
      <c r="AI160" t="s">
        <v>291</v>
      </c>
      <c r="AK160" t="s">
        <v>866</v>
      </c>
      <c r="AP160" t="s">
        <v>293</v>
      </c>
      <c r="AT160" t="s">
        <v>294</v>
      </c>
      <c r="AU160" t="s">
        <v>295</v>
      </c>
      <c r="AW160" t="s">
        <v>296</v>
      </c>
      <c r="AX160">
        <v>1</v>
      </c>
      <c r="AY160" t="s">
        <v>297</v>
      </c>
      <c r="AZ160" t="s">
        <v>298</v>
      </c>
      <c r="BA160" t="s">
        <v>299</v>
      </c>
      <c r="BF160" t="s">
        <v>294</v>
      </c>
      <c r="BG160" t="s">
        <v>300</v>
      </c>
      <c r="BI160" t="s">
        <v>298</v>
      </c>
      <c r="BR160" t="s">
        <v>289</v>
      </c>
      <c r="BS160" t="s">
        <v>301</v>
      </c>
      <c r="BT160" t="s">
        <v>302</v>
      </c>
      <c r="BU160" t="s">
        <v>303</v>
      </c>
      <c r="BV160" t="s">
        <v>365</v>
      </c>
      <c r="BX160" t="s">
        <v>867</v>
      </c>
      <c r="BY160" t="s">
        <v>298</v>
      </c>
      <c r="CC160" t="s">
        <v>309</v>
      </c>
      <c r="CE160" t="s">
        <v>289</v>
      </c>
      <c r="CJ160" s="2">
        <v>45566</v>
      </c>
      <c r="CK160" t="s">
        <v>335</v>
      </c>
      <c r="CM160" t="s">
        <v>875</v>
      </c>
      <c r="CN160" t="s">
        <v>328</v>
      </c>
      <c r="CO160" t="s">
        <v>312</v>
      </c>
      <c r="CT160" t="s">
        <v>294</v>
      </c>
      <c r="CU160" t="s">
        <v>313</v>
      </c>
      <c r="CV160" t="s">
        <v>314</v>
      </c>
      <c r="CW160" t="s">
        <v>315</v>
      </c>
      <c r="CX160" t="s">
        <v>316</v>
      </c>
      <c r="CZ160" t="s">
        <v>289</v>
      </c>
      <c r="DA160" t="s">
        <v>289</v>
      </c>
      <c r="DB160" t="s">
        <v>289</v>
      </c>
      <c r="DC160" t="s">
        <v>289</v>
      </c>
      <c r="DI160" t="s">
        <v>289</v>
      </c>
      <c r="DL160" t="s">
        <v>289</v>
      </c>
      <c r="DM160" t="s">
        <v>317</v>
      </c>
      <c r="DS160" t="s">
        <v>289</v>
      </c>
      <c r="DT160" t="s">
        <v>289</v>
      </c>
      <c r="DU160" t="s">
        <v>318</v>
      </c>
      <c r="DV160" t="s">
        <v>289</v>
      </c>
      <c r="DX160" t="s">
        <v>319</v>
      </c>
      <c r="EA160" t="s">
        <v>294</v>
      </c>
      <c r="HW160" t="s">
        <v>294</v>
      </c>
    </row>
    <row r="161" spans="1:231" x14ac:dyDescent="0.25">
      <c r="A161">
        <v>23422284</v>
      </c>
      <c r="B161">
        <v>956980</v>
      </c>
      <c r="C161" t="str">
        <f>"161208505029"</f>
        <v>161208505029</v>
      </c>
      <c r="D161" t="s">
        <v>876</v>
      </c>
      <c r="E161" t="s">
        <v>877</v>
      </c>
      <c r="F161" t="s">
        <v>878</v>
      </c>
      <c r="G161" s="1">
        <v>42712</v>
      </c>
      <c r="I161" t="s">
        <v>353</v>
      </c>
      <c r="J161" t="s">
        <v>287</v>
      </c>
      <c r="K161" t="s">
        <v>288</v>
      </c>
      <c r="Q161" t="s">
        <v>289</v>
      </c>
      <c r="R161" t="str">
        <f>"КАЗАХСТАН, АКМОЛИНСКАЯ, ЗЕРЕНДИНСКИЙ РАЙОН, Зерендинский, Зеренда, 22, 8"</f>
        <v>КАЗАХСТАН, АКМОЛИНСКАЯ, ЗЕРЕНДИНСКИЙ РАЙОН, Зерендинский, Зеренда, 22, 8</v>
      </c>
      <c r="S161" t="str">
        <f>"ҚАЗАҚСТАН, АҚМОЛА, ЗЕРЕНДІ АУДАНЫ, Зерендинский, Зеренда, 22, 8"</f>
        <v>ҚАЗАҚСТАН, АҚМОЛА, ЗЕРЕНДІ АУДАНЫ, Зерендинский, Зеренда, 22, 8</v>
      </c>
      <c r="T161" t="str">
        <f>"Зерендинский, Зеренда, 22, 8"</f>
        <v>Зерендинский, Зеренда, 22, 8</v>
      </c>
      <c r="U161" t="str">
        <f>"Зерендинский, Зеренда, 22, 8"</f>
        <v>Зерендинский, Зеренда, 22, 8</v>
      </c>
      <c r="AC161" t="str">
        <f>"2022-08-25T00:00:00"</f>
        <v>2022-08-25T00:00:00</v>
      </c>
      <c r="AD161" t="str">
        <f>"48"</f>
        <v>48</v>
      </c>
      <c r="AE161" t="str">
        <f>"2024-09-01T10:10:59"</f>
        <v>2024-09-01T10:10:59</v>
      </c>
      <c r="AF161" t="str">
        <f>"2025-05-25T10:10:59"</f>
        <v>2025-05-25T10:10:59</v>
      </c>
      <c r="AG161" t="s">
        <v>290</v>
      </c>
      <c r="AI161" t="s">
        <v>291</v>
      </c>
      <c r="AK161" t="s">
        <v>866</v>
      </c>
      <c r="AP161" t="s">
        <v>342</v>
      </c>
      <c r="AT161" t="s">
        <v>294</v>
      </c>
      <c r="AU161" t="s">
        <v>295</v>
      </c>
      <c r="AW161" t="s">
        <v>296</v>
      </c>
      <c r="AX161">
        <v>1</v>
      </c>
      <c r="AY161" t="s">
        <v>297</v>
      </c>
      <c r="AZ161" t="s">
        <v>298</v>
      </c>
      <c r="BA161" t="s">
        <v>299</v>
      </c>
      <c r="BF161" t="s">
        <v>294</v>
      </c>
      <c r="BG161" t="s">
        <v>300</v>
      </c>
      <c r="BI161" t="s">
        <v>298</v>
      </c>
      <c r="BR161" t="s">
        <v>289</v>
      </c>
      <c r="BS161" t="s">
        <v>301</v>
      </c>
      <c r="BT161" t="s">
        <v>302</v>
      </c>
      <c r="BU161" t="s">
        <v>303</v>
      </c>
      <c r="BV161" t="s">
        <v>365</v>
      </c>
      <c r="BX161" t="s">
        <v>867</v>
      </c>
      <c r="BY161" t="s">
        <v>298</v>
      </c>
      <c r="CC161" t="s">
        <v>309</v>
      </c>
      <c r="CE161" t="s">
        <v>289</v>
      </c>
      <c r="CJ161" s="2">
        <v>45566</v>
      </c>
      <c r="CK161" t="s">
        <v>375</v>
      </c>
      <c r="CL161" t="s">
        <v>328</v>
      </c>
      <c r="CM161" t="s">
        <v>298</v>
      </c>
      <c r="CO161" t="s">
        <v>312</v>
      </c>
      <c r="CT161" t="s">
        <v>294</v>
      </c>
      <c r="CU161" t="s">
        <v>313</v>
      </c>
      <c r="CV161" t="s">
        <v>314</v>
      </c>
      <c r="CW161" t="s">
        <v>315</v>
      </c>
      <c r="CX161" t="s">
        <v>316</v>
      </c>
      <c r="CZ161" t="s">
        <v>289</v>
      </c>
      <c r="DA161" t="s">
        <v>289</v>
      </c>
      <c r="DB161" t="s">
        <v>289</v>
      </c>
      <c r="DC161" t="s">
        <v>289</v>
      </c>
      <c r="DI161" t="s">
        <v>289</v>
      </c>
      <c r="DL161" t="s">
        <v>289</v>
      </c>
      <c r="DM161" t="s">
        <v>317</v>
      </c>
      <c r="DS161" t="s">
        <v>289</v>
      </c>
      <c r="DT161" t="s">
        <v>289</v>
      </c>
      <c r="DU161" t="s">
        <v>318</v>
      </c>
      <c r="DV161" t="s">
        <v>289</v>
      </c>
      <c r="DX161" t="s">
        <v>319</v>
      </c>
      <c r="EA161" t="s">
        <v>289</v>
      </c>
      <c r="HW161" t="s">
        <v>294</v>
      </c>
    </row>
    <row r="162" spans="1:231" x14ac:dyDescent="0.25">
      <c r="A162">
        <v>23422574</v>
      </c>
      <c r="B162">
        <v>550589</v>
      </c>
      <c r="C162" t="str">
        <f>"160626502242"</f>
        <v>160626502242</v>
      </c>
      <c r="D162" t="s">
        <v>879</v>
      </c>
      <c r="E162" t="s">
        <v>880</v>
      </c>
      <c r="F162" t="s">
        <v>881</v>
      </c>
      <c r="G162" s="1">
        <v>42547</v>
      </c>
      <c r="I162" t="s">
        <v>353</v>
      </c>
      <c r="J162" t="s">
        <v>287</v>
      </c>
      <c r="K162" t="s">
        <v>288</v>
      </c>
      <c r="Q162" t="s">
        <v>289</v>
      </c>
      <c r="R162" t="str">
        <f>"КАЗАХСТАН, АКМОЛИНСКАЯ, ЗЕРЕНДИНСКИЙ РАЙОН, Зерендинский, Зеренда, 38А, 1"</f>
        <v>КАЗАХСТАН, АКМОЛИНСКАЯ, ЗЕРЕНДИНСКИЙ РАЙОН, Зерендинский, Зеренда, 38А, 1</v>
      </c>
      <c r="S162" t="str">
        <f>"ҚАЗАҚСТАН, АҚМОЛА, ЗЕРЕНДІ АУДАНЫ, Зерендинский, Зеренда, 38А, 1"</f>
        <v>ҚАЗАҚСТАН, АҚМОЛА, ЗЕРЕНДІ АУДАНЫ, Зерендинский, Зеренда, 38А, 1</v>
      </c>
      <c r="T162" t="str">
        <f>"Зерендинский, Зеренда, 38А, 1"</f>
        <v>Зерендинский, Зеренда, 38А, 1</v>
      </c>
      <c r="U162" t="str">
        <f>"Зерендинский, Зеренда, 38А, 1"</f>
        <v>Зерендинский, Зеренда, 38А, 1</v>
      </c>
      <c r="AC162" t="str">
        <f>"2022-08-25T00:00:00"</f>
        <v>2022-08-25T00:00:00</v>
      </c>
      <c r="AD162" t="str">
        <f>"48"</f>
        <v>48</v>
      </c>
      <c r="AE162" t="str">
        <f>"2024-09-01T09:44:10"</f>
        <v>2024-09-01T09:44:10</v>
      </c>
      <c r="AF162" t="str">
        <f>"2025-05-25T09:44:10"</f>
        <v>2025-05-25T09:44:10</v>
      </c>
      <c r="AG162" t="s">
        <v>290</v>
      </c>
      <c r="AI162" t="s">
        <v>291</v>
      </c>
      <c r="AK162" t="s">
        <v>866</v>
      </c>
      <c r="AP162" t="s">
        <v>293</v>
      </c>
      <c r="AT162" t="s">
        <v>294</v>
      </c>
      <c r="AU162" t="s">
        <v>295</v>
      </c>
      <c r="AW162" t="s">
        <v>296</v>
      </c>
      <c r="AX162">
        <v>1</v>
      </c>
      <c r="AY162" t="s">
        <v>297</v>
      </c>
      <c r="AZ162" t="s">
        <v>298</v>
      </c>
      <c r="BA162" t="s">
        <v>299</v>
      </c>
      <c r="BF162" t="s">
        <v>289</v>
      </c>
      <c r="BI162" t="s">
        <v>298</v>
      </c>
      <c r="BR162" t="s">
        <v>289</v>
      </c>
      <c r="BS162" t="s">
        <v>301</v>
      </c>
      <c r="BT162" t="s">
        <v>302</v>
      </c>
      <c r="BU162" t="s">
        <v>303</v>
      </c>
      <c r="BV162" t="s">
        <v>365</v>
      </c>
      <c r="BX162" t="s">
        <v>867</v>
      </c>
      <c r="BY162" t="s">
        <v>298</v>
      </c>
      <c r="CC162" t="s">
        <v>309</v>
      </c>
      <c r="CE162" t="s">
        <v>289</v>
      </c>
      <c r="CJ162" s="2">
        <v>45566</v>
      </c>
      <c r="CK162" t="s">
        <v>335</v>
      </c>
      <c r="CM162" t="s">
        <v>882</v>
      </c>
      <c r="CN162" t="s">
        <v>367</v>
      </c>
      <c r="CO162" t="s">
        <v>312</v>
      </c>
      <c r="CT162" t="s">
        <v>294</v>
      </c>
      <c r="CU162" t="s">
        <v>313</v>
      </c>
      <c r="CV162" t="s">
        <v>314</v>
      </c>
      <c r="CW162" t="s">
        <v>315</v>
      </c>
      <c r="CX162" t="s">
        <v>316</v>
      </c>
      <c r="CZ162" t="s">
        <v>289</v>
      </c>
      <c r="DA162" t="s">
        <v>289</v>
      </c>
      <c r="DB162" t="s">
        <v>289</v>
      </c>
      <c r="DC162" t="s">
        <v>289</v>
      </c>
      <c r="DI162" t="s">
        <v>289</v>
      </c>
      <c r="DL162" t="s">
        <v>289</v>
      </c>
      <c r="DM162" t="s">
        <v>376</v>
      </c>
      <c r="DN162" t="s">
        <v>304</v>
      </c>
      <c r="DS162" t="s">
        <v>289</v>
      </c>
      <c r="DT162" t="s">
        <v>289</v>
      </c>
      <c r="DU162" t="s">
        <v>318</v>
      </c>
      <c r="DV162" t="s">
        <v>289</v>
      </c>
      <c r="DX162" t="s">
        <v>319</v>
      </c>
      <c r="EA162" t="s">
        <v>289</v>
      </c>
      <c r="HW162" t="s">
        <v>294</v>
      </c>
    </row>
    <row r="163" spans="1:231" x14ac:dyDescent="0.25">
      <c r="A163">
        <v>23422896</v>
      </c>
      <c r="B163">
        <v>7385433</v>
      </c>
      <c r="C163" t="str">
        <f>"161228601498"</f>
        <v>161228601498</v>
      </c>
      <c r="D163" t="s">
        <v>883</v>
      </c>
      <c r="E163" t="s">
        <v>884</v>
      </c>
      <c r="F163" t="s">
        <v>885</v>
      </c>
      <c r="G163" s="1">
        <v>42732</v>
      </c>
      <c r="I163" t="s">
        <v>286</v>
      </c>
      <c r="J163" t="s">
        <v>287</v>
      </c>
      <c r="K163" t="s">
        <v>288</v>
      </c>
      <c r="Q163" t="s">
        <v>289</v>
      </c>
      <c r="R163" t="str">
        <f>"КАЗАХСТАН, АКМОЛИНСКАЯ, ЗЕРЕНДИНСКИЙ РАЙОН, Зерендинский, Зеренда, 10"</f>
        <v>КАЗАХСТАН, АКМОЛИНСКАЯ, ЗЕРЕНДИНСКИЙ РАЙОН, Зерендинский, Зеренда, 10</v>
      </c>
      <c r="S163" t="str">
        <f>"ҚАЗАҚСТАН, АҚМОЛА, ЗЕРЕНДІ АУДАНЫ, Зерендинский, Зеренда, 10"</f>
        <v>ҚАЗАҚСТАН, АҚМОЛА, ЗЕРЕНДІ АУДАНЫ, Зерендинский, Зеренда, 10</v>
      </c>
      <c r="T163" t="str">
        <f>"Зерендинский, Зеренда, 10"</f>
        <v>Зерендинский, Зеренда, 10</v>
      </c>
      <c r="U163" t="str">
        <f>"Зерендинский, Зеренда, 10"</f>
        <v>Зерендинский, Зеренда, 10</v>
      </c>
      <c r="AC163" t="str">
        <f>"2022-08-25T00:00:00"</f>
        <v>2022-08-25T00:00:00</v>
      </c>
      <c r="AD163" t="str">
        <f>"48"</f>
        <v>48</v>
      </c>
      <c r="AE163" t="str">
        <f>"2024-09-01T12:01:39"</f>
        <v>2024-09-01T12:01:39</v>
      </c>
      <c r="AF163" t="str">
        <f>"2025-05-25T12:01:39"</f>
        <v>2025-05-25T12:01:39</v>
      </c>
      <c r="AG163" t="s">
        <v>290</v>
      </c>
      <c r="AI163" t="s">
        <v>291</v>
      </c>
      <c r="AK163" t="s">
        <v>866</v>
      </c>
      <c r="AP163" t="s">
        <v>293</v>
      </c>
      <c r="AQ163" t="s">
        <v>289</v>
      </c>
      <c r="AT163" t="s">
        <v>294</v>
      </c>
      <c r="AU163" t="s">
        <v>295</v>
      </c>
      <c r="AW163" t="s">
        <v>296</v>
      </c>
      <c r="AX163">
        <v>1</v>
      </c>
      <c r="AY163" t="s">
        <v>297</v>
      </c>
      <c r="AZ163" t="s">
        <v>298</v>
      </c>
      <c r="BA163" t="s">
        <v>323</v>
      </c>
      <c r="BF163" t="s">
        <v>294</v>
      </c>
      <c r="BG163" t="s">
        <v>300</v>
      </c>
      <c r="BI163" t="s">
        <v>298</v>
      </c>
      <c r="BR163" t="s">
        <v>289</v>
      </c>
      <c r="BS163" t="s">
        <v>301</v>
      </c>
      <c r="BT163" t="s">
        <v>302</v>
      </c>
      <c r="BU163" t="s">
        <v>303</v>
      </c>
      <c r="BV163" t="s">
        <v>365</v>
      </c>
      <c r="BX163" t="s">
        <v>867</v>
      </c>
      <c r="BY163" t="s">
        <v>298</v>
      </c>
      <c r="CC163" t="s">
        <v>309</v>
      </c>
      <c r="CE163" t="s">
        <v>289</v>
      </c>
      <c r="CJ163" s="2">
        <v>45566</v>
      </c>
      <c r="CK163" t="s">
        <v>886</v>
      </c>
      <c r="CL163" t="s">
        <v>311</v>
      </c>
      <c r="CM163" t="s">
        <v>298</v>
      </c>
      <c r="CO163" t="s">
        <v>312</v>
      </c>
      <c r="CT163" t="s">
        <v>294</v>
      </c>
      <c r="CU163" t="s">
        <v>313</v>
      </c>
      <c r="CV163" t="s">
        <v>314</v>
      </c>
      <c r="CW163" t="s">
        <v>315</v>
      </c>
      <c r="CX163" t="s">
        <v>316</v>
      </c>
      <c r="CZ163" t="s">
        <v>289</v>
      </c>
      <c r="DA163" t="s">
        <v>289</v>
      </c>
      <c r="DB163" t="s">
        <v>289</v>
      </c>
      <c r="DC163" t="s">
        <v>289</v>
      </c>
      <c r="DI163" t="s">
        <v>289</v>
      </c>
      <c r="DL163" t="s">
        <v>289</v>
      </c>
      <c r="DM163" t="s">
        <v>317</v>
      </c>
      <c r="DS163" t="s">
        <v>289</v>
      </c>
      <c r="DT163" t="s">
        <v>289</v>
      </c>
      <c r="DU163" t="s">
        <v>318</v>
      </c>
      <c r="DV163" t="s">
        <v>289</v>
      </c>
      <c r="DX163" t="s">
        <v>319</v>
      </c>
      <c r="EA163" t="s">
        <v>289</v>
      </c>
      <c r="HW163" t="s">
        <v>294</v>
      </c>
    </row>
    <row r="164" spans="1:231" x14ac:dyDescent="0.25">
      <c r="A164">
        <v>23423071</v>
      </c>
      <c r="B164">
        <v>9022006</v>
      </c>
      <c r="C164" t="str">
        <f>"170820503881"</f>
        <v>170820503881</v>
      </c>
      <c r="D164" t="s">
        <v>549</v>
      </c>
      <c r="E164" t="s">
        <v>887</v>
      </c>
      <c r="F164" t="s">
        <v>551</v>
      </c>
      <c r="G164" s="1">
        <v>42967</v>
      </c>
      <c r="I164" t="s">
        <v>353</v>
      </c>
      <c r="J164" t="s">
        <v>287</v>
      </c>
      <c r="K164" t="s">
        <v>288</v>
      </c>
      <c r="Q164" t="s">
        <v>289</v>
      </c>
      <c r="R164" t="str">
        <f>"КАЗАХСТАН, АКМОЛИНСКАЯ, ЗЕРЕНДИНСКИЙ РАЙОН, Зерендинский, Зеренда, 32, 3"</f>
        <v>КАЗАХСТАН, АКМОЛИНСКАЯ, ЗЕРЕНДИНСКИЙ РАЙОН, Зерендинский, Зеренда, 32, 3</v>
      </c>
      <c r="S164" t="str">
        <f>"ҚАЗАҚСТАН, АҚМОЛА, ЗЕРЕНДІ АУДАНЫ, Зерендинский, Зеренда, 32, 3"</f>
        <v>ҚАЗАҚСТАН, АҚМОЛА, ЗЕРЕНДІ АУДАНЫ, Зерендинский, Зеренда, 32, 3</v>
      </c>
      <c r="T164" t="str">
        <f>"Зерендинский, Зеренда, 32, 3"</f>
        <v>Зерендинский, Зеренда, 32, 3</v>
      </c>
      <c r="U164" t="str">
        <f>"Зерендинский, Зеренда, 32, 3"</f>
        <v>Зерендинский, Зеренда, 32, 3</v>
      </c>
      <c r="AC164" t="str">
        <f>"2022-08-25T00:00:00"</f>
        <v>2022-08-25T00:00:00</v>
      </c>
      <c r="AD164" t="str">
        <f>"48"</f>
        <v>48</v>
      </c>
      <c r="AE164" t="str">
        <f>"2024-09-01T10:11:52"</f>
        <v>2024-09-01T10:11:52</v>
      </c>
      <c r="AF164" t="str">
        <f>"2025-05-25T10:11:52"</f>
        <v>2025-05-25T10:11:52</v>
      </c>
      <c r="AG164" t="s">
        <v>290</v>
      </c>
      <c r="AI164" t="s">
        <v>373</v>
      </c>
      <c r="AK164" t="s">
        <v>866</v>
      </c>
      <c r="AP164" t="s">
        <v>342</v>
      </c>
      <c r="AT164" t="s">
        <v>294</v>
      </c>
      <c r="AU164" t="s">
        <v>295</v>
      </c>
      <c r="AW164" t="s">
        <v>296</v>
      </c>
      <c r="AX164">
        <v>1</v>
      </c>
      <c r="AY164" t="s">
        <v>297</v>
      </c>
      <c r="AZ164" t="s">
        <v>298</v>
      </c>
      <c r="BA164" t="s">
        <v>299</v>
      </c>
      <c r="BF164" t="s">
        <v>294</v>
      </c>
      <c r="BG164" t="s">
        <v>300</v>
      </c>
      <c r="BI164" t="s">
        <v>298</v>
      </c>
      <c r="BR164" t="s">
        <v>289</v>
      </c>
      <c r="BS164" t="s">
        <v>301</v>
      </c>
      <c r="BT164" t="s">
        <v>302</v>
      </c>
      <c r="BU164" t="s">
        <v>303</v>
      </c>
      <c r="BV164" t="s">
        <v>365</v>
      </c>
      <c r="BX164" t="s">
        <v>867</v>
      </c>
      <c r="BY164" t="s">
        <v>298</v>
      </c>
      <c r="CC164" t="s">
        <v>309</v>
      </c>
      <c r="CE164" t="s">
        <v>289</v>
      </c>
      <c r="CJ164" s="3">
        <v>45901</v>
      </c>
      <c r="CK164" t="s">
        <v>467</v>
      </c>
      <c r="CL164" t="s">
        <v>328</v>
      </c>
      <c r="CM164" t="s">
        <v>298</v>
      </c>
      <c r="CO164" t="s">
        <v>312</v>
      </c>
      <c r="CT164" t="s">
        <v>294</v>
      </c>
      <c r="CU164" t="s">
        <v>313</v>
      </c>
      <c r="CV164" t="s">
        <v>314</v>
      </c>
      <c r="CW164" t="s">
        <v>315</v>
      </c>
      <c r="CX164" t="s">
        <v>316</v>
      </c>
      <c r="CZ164" t="s">
        <v>289</v>
      </c>
      <c r="DA164" t="s">
        <v>289</v>
      </c>
      <c r="DB164" t="s">
        <v>289</v>
      </c>
      <c r="DC164" t="s">
        <v>289</v>
      </c>
      <c r="DI164" t="s">
        <v>289</v>
      </c>
      <c r="DL164" t="s">
        <v>289</v>
      </c>
      <c r="DM164" t="s">
        <v>317</v>
      </c>
      <c r="DS164" t="s">
        <v>289</v>
      </c>
      <c r="DT164" t="s">
        <v>289</v>
      </c>
      <c r="DU164" t="s">
        <v>318</v>
      </c>
      <c r="DV164" t="s">
        <v>289</v>
      </c>
      <c r="DX164" t="s">
        <v>368</v>
      </c>
      <c r="DY164" t="s">
        <v>472</v>
      </c>
      <c r="DZ164" t="s">
        <v>473</v>
      </c>
      <c r="EA164" t="s">
        <v>294</v>
      </c>
      <c r="HW164" t="s">
        <v>294</v>
      </c>
    </row>
    <row r="165" spans="1:231" x14ac:dyDescent="0.25">
      <c r="A165">
        <v>23423342</v>
      </c>
      <c r="B165">
        <v>956854</v>
      </c>
      <c r="C165" t="str">
        <f>"161129601340"</f>
        <v>161129601340</v>
      </c>
      <c r="D165" t="s">
        <v>508</v>
      </c>
      <c r="E165" t="s">
        <v>888</v>
      </c>
      <c r="F165" t="s">
        <v>510</v>
      </c>
      <c r="G165" s="1">
        <v>42703</v>
      </c>
      <c r="I165" t="s">
        <v>286</v>
      </c>
      <c r="J165" t="s">
        <v>287</v>
      </c>
      <c r="K165" t="s">
        <v>288</v>
      </c>
      <c r="Q165" t="s">
        <v>289</v>
      </c>
      <c r="R165" t="str">
        <f>"КАЗАХСТАН, АКМОЛИНСКАЯ, ЗЕРЕНДИНСКИЙ РАЙОН, Зерендинский, Зеренда, 15, 7"</f>
        <v>КАЗАХСТАН, АКМОЛИНСКАЯ, ЗЕРЕНДИНСКИЙ РАЙОН, Зерендинский, Зеренда, 15, 7</v>
      </c>
      <c r="S165" t="str">
        <f>"ҚАЗАҚСТАН, АҚМОЛА, ЗЕРЕНДІ АУДАНЫ, Зерендинский, Зеренда, 15, 7"</f>
        <v>ҚАЗАҚСТАН, АҚМОЛА, ЗЕРЕНДІ АУДАНЫ, Зерендинский, Зеренда, 15, 7</v>
      </c>
      <c r="T165" t="str">
        <f>"Зерендинский, Зеренда, 15, 7"</f>
        <v>Зерендинский, Зеренда, 15, 7</v>
      </c>
      <c r="U165" t="str">
        <f>"Зерендинский, Зеренда, 15, 7"</f>
        <v>Зерендинский, Зеренда, 15, 7</v>
      </c>
      <c r="AC165" t="str">
        <f>"2022-08-25T00:00:00"</f>
        <v>2022-08-25T00:00:00</v>
      </c>
      <c r="AD165" t="str">
        <f>"48"</f>
        <v>48</v>
      </c>
      <c r="AE165" t="str">
        <f>"2024-09-01T12:00:16"</f>
        <v>2024-09-01T12:00:16</v>
      </c>
      <c r="AF165" t="str">
        <f>"2025-05-25T12:00:16"</f>
        <v>2025-05-25T12:00:16</v>
      </c>
      <c r="AG165" t="s">
        <v>290</v>
      </c>
      <c r="AI165" t="s">
        <v>291</v>
      </c>
      <c r="AK165" t="s">
        <v>866</v>
      </c>
      <c r="AP165" t="s">
        <v>342</v>
      </c>
      <c r="AQ165" t="s">
        <v>289</v>
      </c>
      <c r="AT165" t="s">
        <v>294</v>
      </c>
      <c r="AU165" t="s">
        <v>295</v>
      </c>
      <c r="AW165" t="s">
        <v>296</v>
      </c>
      <c r="AX165">
        <v>1</v>
      </c>
      <c r="AY165" t="s">
        <v>297</v>
      </c>
      <c r="AZ165" t="s">
        <v>298</v>
      </c>
      <c r="BA165" t="s">
        <v>299</v>
      </c>
      <c r="BF165" t="s">
        <v>294</v>
      </c>
      <c r="BG165" t="s">
        <v>300</v>
      </c>
      <c r="BI165" t="s">
        <v>298</v>
      </c>
      <c r="BR165" t="s">
        <v>289</v>
      </c>
      <c r="BS165" t="s">
        <v>301</v>
      </c>
      <c r="BT165" t="s">
        <v>302</v>
      </c>
      <c r="BU165" t="s">
        <v>303</v>
      </c>
      <c r="BV165" t="s">
        <v>365</v>
      </c>
      <c r="BX165" t="s">
        <v>867</v>
      </c>
      <c r="BY165" t="s">
        <v>298</v>
      </c>
      <c r="CC165" t="s">
        <v>309</v>
      </c>
      <c r="CE165" t="s">
        <v>289</v>
      </c>
      <c r="CJ165" t="s">
        <v>704</v>
      </c>
      <c r="CK165" t="s">
        <v>807</v>
      </c>
      <c r="CL165" t="s">
        <v>311</v>
      </c>
      <c r="CM165" t="s">
        <v>298</v>
      </c>
      <c r="CO165" t="s">
        <v>312</v>
      </c>
      <c r="CT165" t="s">
        <v>294</v>
      </c>
      <c r="CU165" t="s">
        <v>313</v>
      </c>
      <c r="CV165" t="s">
        <v>314</v>
      </c>
      <c r="CW165" t="s">
        <v>315</v>
      </c>
      <c r="CX165" t="s">
        <v>316</v>
      </c>
      <c r="CZ165" t="s">
        <v>289</v>
      </c>
      <c r="DA165" t="s">
        <v>289</v>
      </c>
      <c r="DB165" t="s">
        <v>289</v>
      </c>
      <c r="DC165" t="s">
        <v>289</v>
      </c>
      <c r="DI165" t="s">
        <v>289</v>
      </c>
      <c r="DL165" t="s">
        <v>289</v>
      </c>
      <c r="DM165" t="s">
        <v>317</v>
      </c>
      <c r="DS165" t="s">
        <v>289</v>
      </c>
      <c r="DT165" t="s">
        <v>289</v>
      </c>
      <c r="DU165" t="s">
        <v>318</v>
      </c>
      <c r="DV165" t="s">
        <v>289</v>
      </c>
      <c r="DX165" t="s">
        <v>319</v>
      </c>
      <c r="EA165" t="s">
        <v>289</v>
      </c>
      <c r="HW165" t="s">
        <v>294</v>
      </c>
    </row>
    <row r="166" spans="1:231" x14ac:dyDescent="0.25">
      <c r="A166">
        <v>23423964</v>
      </c>
      <c r="B166">
        <v>551719</v>
      </c>
      <c r="C166" t="str">
        <f>"161011505018"</f>
        <v>161011505018</v>
      </c>
      <c r="D166" t="s">
        <v>587</v>
      </c>
      <c r="E166" t="s">
        <v>889</v>
      </c>
      <c r="F166" t="s">
        <v>890</v>
      </c>
      <c r="G166" s="1">
        <v>42654</v>
      </c>
      <c r="I166" t="s">
        <v>353</v>
      </c>
      <c r="J166" t="s">
        <v>287</v>
      </c>
      <c r="K166" t="s">
        <v>288</v>
      </c>
      <c r="Q166" t="s">
        <v>289</v>
      </c>
      <c r="R166" t="str">
        <f>"КАЗАХСТАН, АКМОЛИНСКАЯ, ЗЕРЕНДИНСКИЙ РАЙОН, Зерендинский, Зеренда, 16, 3"</f>
        <v>КАЗАХСТАН, АКМОЛИНСКАЯ, ЗЕРЕНДИНСКИЙ РАЙОН, Зерендинский, Зеренда, 16, 3</v>
      </c>
      <c r="S166" t="str">
        <f>"ҚАЗАҚСТАН, АҚМОЛА, ЗЕРЕНДІ АУДАНЫ, Зерендинский, Зеренда, 16, 3"</f>
        <v>ҚАЗАҚСТАН, АҚМОЛА, ЗЕРЕНДІ АУДАНЫ, Зерендинский, Зеренда, 16, 3</v>
      </c>
      <c r="T166" t="str">
        <f>"Зерендинский, Зеренда, 16, 3"</f>
        <v>Зерендинский, Зеренда, 16, 3</v>
      </c>
      <c r="U166" t="str">
        <f>"Зерендинский, Зеренда, 16, 3"</f>
        <v>Зерендинский, Зеренда, 16, 3</v>
      </c>
      <c r="AC166" t="str">
        <f>"2022-08-25T00:00:00"</f>
        <v>2022-08-25T00:00:00</v>
      </c>
      <c r="AD166" t="str">
        <f>"48"</f>
        <v>48</v>
      </c>
      <c r="AE166" t="str">
        <f>"2024-09-01T09:45:39"</f>
        <v>2024-09-01T09:45:39</v>
      </c>
      <c r="AF166" t="str">
        <f>"2025-05-25T09:45:39"</f>
        <v>2025-05-25T09:45:39</v>
      </c>
      <c r="AG166" t="s">
        <v>290</v>
      </c>
      <c r="AI166" t="s">
        <v>291</v>
      </c>
      <c r="AK166" t="s">
        <v>866</v>
      </c>
      <c r="AP166" t="s">
        <v>293</v>
      </c>
      <c r="AT166" t="s">
        <v>294</v>
      </c>
      <c r="AU166" t="s">
        <v>295</v>
      </c>
      <c r="AW166" t="s">
        <v>296</v>
      </c>
      <c r="AX166">
        <v>1</v>
      </c>
      <c r="AY166" t="s">
        <v>297</v>
      </c>
      <c r="AZ166" t="s">
        <v>298</v>
      </c>
      <c r="BA166" t="s">
        <v>299</v>
      </c>
      <c r="BF166" t="s">
        <v>294</v>
      </c>
      <c r="BG166" t="s">
        <v>300</v>
      </c>
      <c r="BI166" t="s">
        <v>298</v>
      </c>
      <c r="BR166" t="s">
        <v>289</v>
      </c>
      <c r="BS166" t="s">
        <v>301</v>
      </c>
      <c r="BT166" t="s">
        <v>302</v>
      </c>
      <c r="BU166" t="s">
        <v>303</v>
      </c>
      <c r="BV166" t="s">
        <v>365</v>
      </c>
      <c r="BX166" t="s">
        <v>867</v>
      </c>
      <c r="BY166" t="s">
        <v>298</v>
      </c>
      <c r="CC166" t="s">
        <v>309</v>
      </c>
      <c r="CE166" t="s">
        <v>289</v>
      </c>
      <c r="CJ166" s="2">
        <v>45566</v>
      </c>
      <c r="CK166" t="s">
        <v>471</v>
      </c>
      <c r="CL166" t="s">
        <v>328</v>
      </c>
      <c r="CM166" t="s">
        <v>298</v>
      </c>
      <c r="CO166" t="s">
        <v>312</v>
      </c>
      <c r="CT166" t="s">
        <v>294</v>
      </c>
      <c r="CU166" t="s">
        <v>313</v>
      </c>
      <c r="CV166" t="s">
        <v>314</v>
      </c>
      <c r="CW166" t="s">
        <v>315</v>
      </c>
      <c r="CX166" t="s">
        <v>316</v>
      </c>
      <c r="CZ166" t="s">
        <v>289</v>
      </c>
      <c r="DA166" t="s">
        <v>289</v>
      </c>
      <c r="DB166" t="s">
        <v>289</v>
      </c>
      <c r="DC166" t="s">
        <v>289</v>
      </c>
      <c r="DI166" t="s">
        <v>289</v>
      </c>
      <c r="DL166" t="s">
        <v>289</v>
      </c>
      <c r="DM166" t="s">
        <v>317</v>
      </c>
      <c r="DS166" t="s">
        <v>289</v>
      </c>
      <c r="DT166" t="s">
        <v>289</v>
      </c>
      <c r="DU166" t="s">
        <v>318</v>
      </c>
      <c r="DV166" t="s">
        <v>289</v>
      </c>
      <c r="DX166" t="s">
        <v>319</v>
      </c>
      <c r="EA166" t="s">
        <v>294</v>
      </c>
      <c r="HW166" t="s">
        <v>294</v>
      </c>
    </row>
    <row r="167" spans="1:231" x14ac:dyDescent="0.25">
      <c r="A167">
        <v>23426200</v>
      </c>
      <c r="B167">
        <v>956989</v>
      </c>
      <c r="C167" t="str">
        <f>"160601600563"</f>
        <v>160601600563</v>
      </c>
      <c r="D167" t="s">
        <v>445</v>
      </c>
      <c r="E167" t="s">
        <v>891</v>
      </c>
      <c r="F167" t="s">
        <v>447</v>
      </c>
      <c r="G167" s="1">
        <v>42522</v>
      </c>
      <c r="I167" t="s">
        <v>286</v>
      </c>
      <c r="J167" t="s">
        <v>287</v>
      </c>
      <c r="K167" t="s">
        <v>288</v>
      </c>
      <c r="Q167" t="s">
        <v>289</v>
      </c>
      <c r="R167" t="str">
        <f>"КАЗАХСТАН, АКМОЛИНСКАЯ, ЗЕРЕНДИНСКИЙ РАЙОН, ЗЕРЕНДІ, 5"</f>
        <v>КАЗАХСТАН, АКМОЛИНСКАЯ, ЗЕРЕНДИНСКИЙ РАЙОН, ЗЕРЕНДІ, 5</v>
      </c>
      <c r="S167" t="str">
        <f>"ҚАЗАҚСТАН, АҚМОЛА, ЗЕРЕНДІ АУДАНЫ, ЗЕРЕНДІ, 5"</f>
        <v>ҚАЗАҚСТАН, АҚМОЛА, ЗЕРЕНДІ АУДАНЫ, ЗЕРЕНДІ, 5</v>
      </c>
      <c r="T167" t="str">
        <f>"ЗЕРЕНДІ, 5"</f>
        <v>ЗЕРЕНДІ, 5</v>
      </c>
      <c r="U167" t="str">
        <f>"ЗЕРЕНДІ, 5"</f>
        <v>ЗЕРЕНДІ, 5</v>
      </c>
      <c r="AC167" t="str">
        <f>"2022-08-25T00:00:00"</f>
        <v>2022-08-25T00:00:00</v>
      </c>
      <c r="AD167" t="str">
        <f>"48"</f>
        <v>48</v>
      </c>
      <c r="AE167" t="str">
        <f>"2024-09-01T12:02:47"</f>
        <v>2024-09-01T12:02:47</v>
      </c>
      <c r="AF167" t="str">
        <f>"2025-05-25T12:02:47"</f>
        <v>2025-05-25T12:02:47</v>
      </c>
      <c r="AG167" t="s">
        <v>290</v>
      </c>
      <c r="AI167" t="s">
        <v>291</v>
      </c>
      <c r="AK167" t="s">
        <v>866</v>
      </c>
      <c r="AP167" t="s">
        <v>293</v>
      </c>
      <c r="AQ167" t="s">
        <v>289</v>
      </c>
      <c r="AT167" t="s">
        <v>294</v>
      </c>
      <c r="AU167" t="s">
        <v>295</v>
      </c>
      <c r="AW167" t="s">
        <v>296</v>
      </c>
      <c r="AX167">
        <v>1</v>
      </c>
      <c r="AY167" t="s">
        <v>297</v>
      </c>
      <c r="AZ167" t="s">
        <v>298</v>
      </c>
      <c r="BA167" t="s">
        <v>299</v>
      </c>
      <c r="BF167" t="s">
        <v>294</v>
      </c>
      <c r="BG167" t="s">
        <v>300</v>
      </c>
      <c r="BI167" t="s">
        <v>298</v>
      </c>
      <c r="BR167" t="s">
        <v>289</v>
      </c>
      <c r="BS167" t="s">
        <v>301</v>
      </c>
      <c r="BT167" t="s">
        <v>302</v>
      </c>
      <c r="BU167" t="s">
        <v>303</v>
      </c>
      <c r="BV167" t="s">
        <v>365</v>
      </c>
      <c r="BX167" t="s">
        <v>867</v>
      </c>
      <c r="BY167" t="s">
        <v>298</v>
      </c>
      <c r="CC167" t="s">
        <v>309</v>
      </c>
      <c r="CE167" t="s">
        <v>289</v>
      </c>
      <c r="CJ167" s="3">
        <v>45901</v>
      </c>
      <c r="CK167" t="s">
        <v>807</v>
      </c>
      <c r="CL167" t="s">
        <v>311</v>
      </c>
      <c r="CM167" t="s">
        <v>298</v>
      </c>
      <c r="CO167" t="s">
        <v>312</v>
      </c>
      <c r="CT167" t="s">
        <v>294</v>
      </c>
      <c r="CU167" t="s">
        <v>313</v>
      </c>
      <c r="CV167" t="s">
        <v>314</v>
      </c>
      <c r="CW167" t="s">
        <v>315</v>
      </c>
      <c r="CX167" t="s">
        <v>316</v>
      </c>
      <c r="CZ167" t="s">
        <v>289</v>
      </c>
      <c r="DA167" t="s">
        <v>289</v>
      </c>
      <c r="DB167" t="s">
        <v>289</v>
      </c>
      <c r="DC167" t="s">
        <v>289</v>
      </c>
      <c r="DI167" t="s">
        <v>289</v>
      </c>
      <c r="DL167" t="s">
        <v>289</v>
      </c>
      <c r="DM167" t="s">
        <v>317</v>
      </c>
      <c r="DS167" t="s">
        <v>289</v>
      </c>
      <c r="DT167" t="s">
        <v>289</v>
      </c>
      <c r="DU167" t="s">
        <v>318</v>
      </c>
      <c r="DV167" t="s">
        <v>289</v>
      </c>
      <c r="DX167" t="s">
        <v>319</v>
      </c>
      <c r="EA167" t="s">
        <v>294</v>
      </c>
      <c r="HW167" t="s">
        <v>294</v>
      </c>
    </row>
    <row r="168" spans="1:231" x14ac:dyDescent="0.25">
      <c r="A168">
        <v>23426836</v>
      </c>
      <c r="B168">
        <v>550951</v>
      </c>
      <c r="C168" t="str">
        <f>"160719502911"</f>
        <v>160719502911</v>
      </c>
      <c r="D168" t="s">
        <v>483</v>
      </c>
      <c r="E168" t="s">
        <v>743</v>
      </c>
      <c r="F168" t="s">
        <v>892</v>
      </c>
      <c r="G168" s="1">
        <v>42570</v>
      </c>
      <c r="I168" t="s">
        <v>353</v>
      </c>
      <c r="J168" t="s">
        <v>287</v>
      </c>
      <c r="K168" t="s">
        <v>288</v>
      </c>
      <c r="Q168" t="s">
        <v>289</v>
      </c>
      <c r="R168" t="str">
        <f>"КАЗАХСТАН, АКМОЛИНСКАЯ, ЗЕРЕНДИНСКИЙ РАЙОН, Зерендинский, Зеренда, 1"</f>
        <v>КАЗАХСТАН, АКМОЛИНСКАЯ, ЗЕРЕНДИНСКИЙ РАЙОН, Зерендинский, Зеренда, 1</v>
      </c>
      <c r="S168" t="str">
        <f>"ҚАЗАҚСТАН, АҚМОЛА, ЗЕРЕНДІ АУДАНЫ, Зерендинский, Зеренда, 1"</f>
        <v>ҚАЗАҚСТАН, АҚМОЛА, ЗЕРЕНДІ АУДАНЫ, Зерендинский, Зеренда, 1</v>
      </c>
      <c r="T168" t="str">
        <f>"Зерендинский, Зеренда, 1"</f>
        <v>Зерендинский, Зеренда, 1</v>
      </c>
      <c r="U168" t="str">
        <f>"Зерендинский, Зеренда, 1"</f>
        <v>Зерендинский, Зеренда, 1</v>
      </c>
      <c r="AC168" t="str">
        <f>"2022-05-28T00:00:00"</f>
        <v>2022-05-28T00:00:00</v>
      </c>
      <c r="AD168" t="str">
        <f>"48"</f>
        <v>48</v>
      </c>
      <c r="AE168" t="str">
        <f>"2024-09-01T10:04:35"</f>
        <v>2024-09-01T10:04:35</v>
      </c>
      <c r="AF168" t="str">
        <f>"2025-05-25T10:04:35"</f>
        <v>2025-05-25T10:04:35</v>
      </c>
      <c r="AG168" t="s">
        <v>290</v>
      </c>
      <c r="AI168" t="s">
        <v>291</v>
      </c>
      <c r="AK168" t="s">
        <v>866</v>
      </c>
      <c r="AP168" t="s">
        <v>293</v>
      </c>
      <c r="AT168" t="s">
        <v>294</v>
      </c>
      <c r="AU168" t="s">
        <v>295</v>
      </c>
      <c r="AW168" t="s">
        <v>296</v>
      </c>
      <c r="AX168">
        <v>1</v>
      </c>
      <c r="AY168" t="s">
        <v>297</v>
      </c>
      <c r="AZ168" t="s">
        <v>298</v>
      </c>
      <c r="BA168" t="s">
        <v>299</v>
      </c>
      <c r="BF168" t="s">
        <v>294</v>
      </c>
      <c r="BG168" t="s">
        <v>300</v>
      </c>
      <c r="BI168" t="s">
        <v>298</v>
      </c>
      <c r="BR168" t="s">
        <v>289</v>
      </c>
      <c r="BS168" t="s">
        <v>301</v>
      </c>
      <c r="BT168" t="s">
        <v>302</v>
      </c>
      <c r="BU168" t="s">
        <v>303</v>
      </c>
      <c r="BV168" t="s">
        <v>365</v>
      </c>
      <c r="BX168" t="s">
        <v>867</v>
      </c>
      <c r="BY168" t="s">
        <v>298</v>
      </c>
      <c r="CC168" t="s">
        <v>309</v>
      </c>
      <c r="CE168" t="s">
        <v>289</v>
      </c>
      <c r="CJ168" s="2">
        <v>45566</v>
      </c>
      <c r="CK168" t="s">
        <v>335</v>
      </c>
      <c r="CM168" t="s">
        <v>486</v>
      </c>
      <c r="CN168" t="s">
        <v>487</v>
      </c>
      <c r="CO168" t="s">
        <v>312</v>
      </c>
      <c r="CT168" t="s">
        <v>294</v>
      </c>
      <c r="CU168" t="s">
        <v>313</v>
      </c>
      <c r="CV168" t="s">
        <v>314</v>
      </c>
      <c r="CW168" t="s">
        <v>315</v>
      </c>
      <c r="CX168" t="s">
        <v>316</v>
      </c>
      <c r="CZ168" t="s">
        <v>289</v>
      </c>
      <c r="DA168" t="s">
        <v>289</v>
      </c>
      <c r="DB168" t="s">
        <v>289</v>
      </c>
      <c r="DC168" t="s">
        <v>289</v>
      </c>
      <c r="DI168" t="s">
        <v>289</v>
      </c>
      <c r="DJ168" t="str">
        <f>"2022-10-17T00:00:00"</f>
        <v>2022-10-17T00:00:00</v>
      </c>
      <c r="DL168" t="s">
        <v>289</v>
      </c>
      <c r="DM168" t="s">
        <v>376</v>
      </c>
      <c r="DN168" t="s">
        <v>304</v>
      </c>
      <c r="DS168" t="s">
        <v>289</v>
      </c>
      <c r="DT168" t="s">
        <v>289</v>
      </c>
      <c r="DU168" t="s">
        <v>318</v>
      </c>
      <c r="DV168" t="s">
        <v>289</v>
      </c>
      <c r="DX168" t="s">
        <v>319</v>
      </c>
      <c r="EA168" t="s">
        <v>289</v>
      </c>
      <c r="HW168" t="s">
        <v>294</v>
      </c>
    </row>
    <row r="169" spans="1:231" x14ac:dyDescent="0.25">
      <c r="A169">
        <v>23428176</v>
      </c>
      <c r="B169">
        <v>882520</v>
      </c>
      <c r="C169" t="str">
        <f>"170119605090"</f>
        <v>170119605090</v>
      </c>
      <c r="D169" t="s">
        <v>893</v>
      </c>
      <c r="E169" t="s">
        <v>859</v>
      </c>
      <c r="G169" s="1">
        <v>42754</v>
      </c>
      <c r="I169" t="s">
        <v>286</v>
      </c>
      <c r="J169" t="s">
        <v>287</v>
      </c>
      <c r="K169" t="s">
        <v>288</v>
      </c>
      <c r="Q169" t="s">
        <v>289</v>
      </c>
      <c r="R169" t="str">
        <f>"КАЗАХСТАН, АКМОЛИНСКАЯ, ЗЕРЕНДИНСКИЙ РАЙОН, Зерендинский, Зеренда, 46А"</f>
        <v>КАЗАХСТАН, АКМОЛИНСКАЯ, ЗЕРЕНДИНСКИЙ РАЙОН, Зерендинский, Зеренда, 46А</v>
      </c>
      <c r="S169" t="str">
        <f>"ҚАЗАҚСТАН, АҚМОЛА, ЗЕРЕНДІ АУДАНЫ, Зерендинский, Зеренда, 46А"</f>
        <v>ҚАЗАҚСТАН, АҚМОЛА, ЗЕРЕНДІ АУДАНЫ, Зерендинский, Зеренда, 46А</v>
      </c>
      <c r="T169" t="str">
        <f>"Зерендинский, Зеренда, 46А"</f>
        <v>Зерендинский, Зеренда, 46А</v>
      </c>
      <c r="U169" t="str">
        <f>"Зерендинский, Зеренда, 46А"</f>
        <v>Зерендинский, Зеренда, 46А</v>
      </c>
      <c r="AC169" t="str">
        <f>"2022-08-25T00:00:00"</f>
        <v>2022-08-25T00:00:00</v>
      </c>
      <c r="AD169" t="str">
        <f>"48"</f>
        <v>48</v>
      </c>
      <c r="AE169" t="str">
        <f>"2024-09-01T12:02:52"</f>
        <v>2024-09-01T12:02:52</v>
      </c>
      <c r="AF169" t="str">
        <f>"2025-05-25T12:02:52"</f>
        <v>2025-05-25T12:02:52</v>
      </c>
      <c r="AG169" t="s">
        <v>290</v>
      </c>
      <c r="AI169" t="s">
        <v>291</v>
      </c>
      <c r="AK169" t="s">
        <v>866</v>
      </c>
      <c r="AP169" t="s">
        <v>293</v>
      </c>
      <c r="AQ169" t="s">
        <v>289</v>
      </c>
      <c r="AT169" t="s">
        <v>294</v>
      </c>
      <c r="AU169" t="s">
        <v>295</v>
      </c>
      <c r="AW169" t="s">
        <v>296</v>
      </c>
      <c r="AX169">
        <v>1</v>
      </c>
      <c r="AY169" t="s">
        <v>297</v>
      </c>
      <c r="AZ169" t="s">
        <v>298</v>
      </c>
      <c r="BA169" t="s">
        <v>299</v>
      </c>
      <c r="BF169" t="s">
        <v>294</v>
      </c>
      <c r="BG169" t="s">
        <v>300</v>
      </c>
      <c r="BI169" t="s">
        <v>298</v>
      </c>
      <c r="BR169" t="s">
        <v>289</v>
      </c>
      <c r="BS169" t="s">
        <v>301</v>
      </c>
      <c r="BT169" t="s">
        <v>302</v>
      </c>
      <c r="BU169" t="s">
        <v>303</v>
      </c>
      <c r="BV169" t="s">
        <v>365</v>
      </c>
      <c r="BX169" t="s">
        <v>867</v>
      </c>
      <c r="BY169" t="s">
        <v>298</v>
      </c>
      <c r="CC169" t="s">
        <v>309</v>
      </c>
      <c r="CE169" t="s">
        <v>289</v>
      </c>
      <c r="CJ169" s="2">
        <v>45566</v>
      </c>
      <c r="CK169" t="s">
        <v>772</v>
      </c>
      <c r="CL169" t="s">
        <v>328</v>
      </c>
      <c r="CM169" t="s">
        <v>298</v>
      </c>
      <c r="CO169" t="s">
        <v>312</v>
      </c>
      <c r="CT169" t="s">
        <v>294</v>
      </c>
      <c r="CU169" t="s">
        <v>313</v>
      </c>
      <c r="CV169" t="s">
        <v>314</v>
      </c>
      <c r="CW169" t="s">
        <v>315</v>
      </c>
      <c r="CX169" t="s">
        <v>316</v>
      </c>
      <c r="CZ169" t="s">
        <v>289</v>
      </c>
      <c r="DA169" t="s">
        <v>289</v>
      </c>
      <c r="DB169" t="s">
        <v>289</v>
      </c>
      <c r="DC169" t="s">
        <v>289</v>
      </c>
      <c r="DI169" t="s">
        <v>289</v>
      </c>
      <c r="DL169" t="s">
        <v>289</v>
      </c>
      <c r="DM169" t="s">
        <v>317</v>
      </c>
      <c r="DS169" t="s">
        <v>289</v>
      </c>
      <c r="DT169" t="s">
        <v>289</v>
      </c>
      <c r="DU169" t="s">
        <v>318</v>
      </c>
      <c r="DV169" t="s">
        <v>289</v>
      </c>
      <c r="DX169" t="s">
        <v>319</v>
      </c>
      <c r="EA169" t="s">
        <v>289</v>
      </c>
      <c r="HW169" t="s">
        <v>294</v>
      </c>
    </row>
    <row r="170" spans="1:231" x14ac:dyDescent="0.25">
      <c r="A170">
        <v>24274768</v>
      </c>
      <c r="B170">
        <v>8804285</v>
      </c>
      <c r="C170" t="str">
        <f>"161222502893"</f>
        <v>161222502893</v>
      </c>
      <c r="D170" t="s">
        <v>894</v>
      </c>
      <c r="E170" t="s">
        <v>728</v>
      </c>
      <c r="F170" t="s">
        <v>529</v>
      </c>
      <c r="G170" s="1">
        <v>42726</v>
      </c>
      <c r="I170" t="s">
        <v>353</v>
      </c>
      <c r="J170" t="s">
        <v>287</v>
      </c>
      <c r="K170" t="s">
        <v>288</v>
      </c>
      <c r="Q170" t="s">
        <v>289</v>
      </c>
      <c r="R170" t="str">
        <f>"КАЗАХСТАН, АКМОЛИНСКАЯ, ЗЕРЕНДИНСКИЙ РАЙОН, ЗЕРЕНДА, 63"</f>
        <v>КАЗАХСТАН, АКМОЛИНСКАЯ, ЗЕРЕНДИНСКИЙ РАЙОН, ЗЕРЕНДА, 63</v>
      </c>
      <c r="S170" t="str">
        <f>"ҚАЗАҚСТАН, АҚМОЛА, ЗЕРЕНДІ АУДАНЫ, ЗЕРЕНДА, 63"</f>
        <v>ҚАЗАҚСТАН, АҚМОЛА, ЗЕРЕНДІ АУДАНЫ, ЗЕРЕНДА, 63</v>
      </c>
      <c r="T170" t="str">
        <f>"ЗЕРЕНДА, 63"</f>
        <v>ЗЕРЕНДА, 63</v>
      </c>
      <c r="U170" t="str">
        <f>"ЗЕРЕНДА, 63"</f>
        <v>ЗЕРЕНДА, 63</v>
      </c>
      <c r="AC170" t="str">
        <f>"2022-11-06T00:00:00"</f>
        <v>2022-11-06T00:00:00</v>
      </c>
      <c r="AD170" t="str">
        <f>"9"</f>
        <v>9</v>
      </c>
      <c r="AE170" t="str">
        <f>"2024-09-01T10:13:53"</f>
        <v>2024-09-01T10:13:53</v>
      </c>
      <c r="AF170" t="str">
        <f>"2025-05-25T10:13:53"</f>
        <v>2025-05-25T10:13:53</v>
      </c>
      <c r="AG170" t="s">
        <v>290</v>
      </c>
      <c r="AI170" t="s">
        <v>373</v>
      </c>
      <c r="AK170" t="s">
        <v>866</v>
      </c>
      <c r="AP170" t="s">
        <v>342</v>
      </c>
      <c r="AT170" t="s">
        <v>294</v>
      </c>
      <c r="AU170" t="s">
        <v>295</v>
      </c>
      <c r="AW170" t="s">
        <v>296</v>
      </c>
      <c r="AX170">
        <v>1</v>
      </c>
      <c r="AY170" t="s">
        <v>297</v>
      </c>
      <c r="AZ170" t="s">
        <v>298</v>
      </c>
      <c r="BA170" t="s">
        <v>299</v>
      </c>
      <c r="BF170" t="s">
        <v>294</v>
      </c>
      <c r="BG170" t="s">
        <v>300</v>
      </c>
      <c r="BI170" t="s">
        <v>298</v>
      </c>
      <c r="BR170" t="s">
        <v>289</v>
      </c>
      <c r="BS170" t="s">
        <v>301</v>
      </c>
      <c r="BT170" t="s">
        <v>302</v>
      </c>
      <c r="BU170" t="s">
        <v>303</v>
      </c>
      <c r="BV170" t="s">
        <v>365</v>
      </c>
      <c r="BX170" t="s">
        <v>867</v>
      </c>
      <c r="BY170" t="s">
        <v>298</v>
      </c>
      <c r="CC170" t="s">
        <v>309</v>
      </c>
      <c r="CE170" t="s">
        <v>289</v>
      </c>
      <c r="CJ170" s="3">
        <v>45901</v>
      </c>
      <c r="CK170" t="s">
        <v>335</v>
      </c>
      <c r="CM170" t="s">
        <v>631</v>
      </c>
      <c r="CN170" t="s">
        <v>487</v>
      </c>
      <c r="CO170" t="s">
        <v>312</v>
      </c>
      <c r="CT170" t="s">
        <v>294</v>
      </c>
      <c r="CU170" t="s">
        <v>313</v>
      </c>
      <c r="CV170" t="s">
        <v>314</v>
      </c>
      <c r="CW170" t="s">
        <v>315</v>
      </c>
      <c r="CX170" t="s">
        <v>316</v>
      </c>
      <c r="CZ170" t="s">
        <v>289</v>
      </c>
      <c r="DA170" t="s">
        <v>289</v>
      </c>
      <c r="DB170" t="s">
        <v>289</v>
      </c>
      <c r="DC170" t="s">
        <v>289</v>
      </c>
      <c r="DI170" t="s">
        <v>289</v>
      </c>
      <c r="DL170" t="s">
        <v>289</v>
      </c>
      <c r="DM170" t="s">
        <v>815</v>
      </c>
      <c r="DN170" t="s">
        <v>304</v>
      </c>
      <c r="DO170" t="str">
        <f>"№2126"</f>
        <v>№2126</v>
      </c>
      <c r="DQ170" t="str">
        <f>"2023-10-18T00:00:00"</f>
        <v>2023-10-18T00:00:00</v>
      </c>
      <c r="DS170" t="s">
        <v>289</v>
      </c>
      <c r="DT170" t="s">
        <v>289</v>
      </c>
      <c r="DU170" t="s">
        <v>318</v>
      </c>
      <c r="DV170" t="s">
        <v>289</v>
      </c>
      <c r="DX170" t="s">
        <v>319</v>
      </c>
      <c r="EA170" t="s">
        <v>294</v>
      </c>
      <c r="HW170" t="s">
        <v>294</v>
      </c>
    </row>
    <row r="171" spans="1:231" x14ac:dyDescent="0.25">
      <c r="A171">
        <v>24717325</v>
      </c>
      <c r="B171">
        <v>7391094</v>
      </c>
      <c r="C171" t="str">
        <f>"171029601646"</f>
        <v>171029601646</v>
      </c>
      <c r="D171" t="s">
        <v>590</v>
      </c>
      <c r="E171" t="s">
        <v>378</v>
      </c>
      <c r="F171" t="s">
        <v>712</v>
      </c>
      <c r="G171" s="1">
        <v>43037</v>
      </c>
      <c r="I171" t="s">
        <v>286</v>
      </c>
      <c r="J171" t="s">
        <v>287</v>
      </c>
      <c r="K171" t="s">
        <v>288</v>
      </c>
      <c r="Q171" t="s">
        <v>289</v>
      </c>
      <c r="R171" t="str">
        <f>"КАЗАХСТАН, АКМОЛИНСКАЯ, ЗЕРЕНДИНСКИЙ РАЙОН, Зерендинский, Зеренда, 59, 7"</f>
        <v>КАЗАХСТАН, АКМОЛИНСКАЯ, ЗЕРЕНДИНСКИЙ РАЙОН, Зерендинский, Зеренда, 59, 7</v>
      </c>
      <c r="S171" t="str">
        <f>"ҚАЗАҚСТАН, АҚМОЛА, ЗЕРЕНДІ АУДАНЫ, Зерендинский, Зеренда, 59, 7"</f>
        <v>ҚАЗАҚСТАН, АҚМОЛА, ЗЕРЕНДІ АУДАНЫ, Зерендинский, Зеренда, 59, 7</v>
      </c>
      <c r="T171" t="str">
        <f>"Зерендинский, Зеренда, 59, 7"</f>
        <v>Зерендинский, Зеренда, 59, 7</v>
      </c>
      <c r="U171" t="str">
        <f>"Зерендинский, Зеренда, 59, 7"</f>
        <v>Зерендинский, Зеренда, 59, 7</v>
      </c>
      <c r="AC171" t="str">
        <f>"2023-08-25T00:00:00"</f>
        <v>2023-08-25T00:00:00</v>
      </c>
      <c r="AD171" t="str">
        <f>"45"</f>
        <v>45</v>
      </c>
      <c r="AE171" t="str">
        <f>"2024-09-01T11:53:38"</f>
        <v>2024-09-01T11:53:38</v>
      </c>
      <c r="AF171" t="str">
        <f>"2025-05-25T11:53:38"</f>
        <v>2025-05-25T11:53:38</v>
      </c>
      <c r="AG171" t="s">
        <v>290</v>
      </c>
      <c r="AI171" t="s">
        <v>291</v>
      </c>
      <c r="AK171" t="s">
        <v>895</v>
      </c>
      <c r="AL171" t="s">
        <v>304</v>
      </c>
      <c r="AP171" t="s">
        <v>293</v>
      </c>
      <c r="AQ171" t="s">
        <v>289</v>
      </c>
      <c r="AT171" t="s">
        <v>294</v>
      </c>
      <c r="AU171" t="s">
        <v>295</v>
      </c>
      <c r="AW171" t="s">
        <v>296</v>
      </c>
      <c r="AX171">
        <v>1</v>
      </c>
      <c r="AY171" t="s">
        <v>297</v>
      </c>
      <c r="AZ171" t="s">
        <v>298</v>
      </c>
      <c r="BA171" t="s">
        <v>299</v>
      </c>
      <c r="BF171" t="s">
        <v>294</v>
      </c>
      <c r="BG171" t="s">
        <v>300</v>
      </c>
      <c r="BI171" t="s">
        <v>298</v>
      </c>
      <c r="BR171" t="s">
        <v>289</v>
      </c>
      <c r="BS171" t="s">
        <v>301</v>
      </c>
      <c r="BT171" t="s">
        <v>302</v>
      </c>
      <c r="BU171" t="s">
        <v>303</v>
      </c>
      <c r="BV171" t="s">
        <v>365</v>
      </c>
      <c r="BX171" t="s">
        <v>867</v>
      </c>
      <c r="BY171" t="s">
        <v>298</v>
      </c>
      <c r="CC171" t="s">
        <v>309</v>
      </c>
      <c r="CE171" t="s">
        <v>289</v>
      </c>
      <c r="CJ171" t="s">
        <v>704</v>
      </c>
      <c r="CK171" t="s">
        <v>807</v>
      </c>
      <c r="CL171" t="s">
        <v>311</v>
      </c>
      <c r="CM171" t="s">
        <v>298</v>
      </c>
      <c r="CO171" t="s">
        <v>312</v>
      </c>
      <c r="CT171" t="s">
        <v>289</v>
      </c>
      <c r="CX171" t="s">
        <v>316</v>
      </c>
      <c r="CZ171" t="s">
        <v>289</v>
      </c>
      <c r="DA171" t="s">
        <v>289</v>
      </c>
      <c r="DB171" t="s">
        <v>289</v>
      </c>
      <c r="DC171" t="s">
        <v>289</v>
      </c>
      <c r="DI171" t="s">
        <v>289</v>
      </c>
      <c r="DL171" t="s">
        <v>289</v>
      </c>
      <c r="DM171" t="s">
        <v>304</v>
      </c>
      <c r="DN171" t="s">
        <v>304</v>
      </c>
      <c r="DO171" t="str">
        <f>"ОНР 3 уровня, №2134"</f>
        <v>ОНР 3 уровня, №2134</v>
      </c>
      <c r="DQ171" t="str">
        <f>"2023-10-18T00:00:00"</f>
        <v>2023-10-18T00:00:00</v>
      </c>
      <c r="DS171" t="s">
        <v>289</v>
      </c>
      <c r="DT171" t="s">
        <v>289</v>
      </c>
      <c r="DU171" t="s">
        <v>318</v>
      </c>
      <c r="DV171" t="s">
        <v>289</v>
      </c>
      <c r="DX171" t="s">
        <v>319</v>
      </c>
      <c r="EA171" t="s">
        <v>294</v>
      </c>
      <c r="HW171" t="s">
        <v>294</v>
      </c>
    </row>
    <row r="172" spans="1:231" x14ac:dyDescent="0.25">
      <c r="A172">
        <v>24718609</v>
      </c>
      <c r="B172">
        <v>7397940</v>
      </c>
      <c r="C172" t="str">
        <f>"170702603569"</f>
        <v>170702603569</v>
      </c>
      <c r="D172" t="s">
        <v>896</v>
      </c>
      <c r="E172" t="s">
        <v>897</v>
      </c>
      <c r="G172" s="1">
        <v>42918</v>
      </c>
      <c r="I172" t="s">
        <v>286</v>
      </c>
      <c r="J172" t="s">
        <v>287</v>
      </c>
      <c r="K172" t="s">
        <v>288</v>
      </c>
      <c r="Q172" t="s">
        <v>289</v>
      </c>
      <c r="R172" t="str">
        <f>"КАЗАХСТАН, АКМОЛИНСКАЯ, ЗЕРЕНДИНСКИЙ РАЙОН, Зерендинский, Зеренда, 41"</f>
        <v>КАЗАХСТАН, АКМОЛИНСКАЯ, ЗЕРЕНДИНСКИЙ РАЙОН, Зерендинский, Зеренда, 41</v>
      </c>
      <c r="S172" t="str">
        <f>"ҚАЗАҚСТАН, АҚМОЛА, ЗЕРЕНДІ АУДАНЫ, Зерендинский, Зеренда, 41"</f>
        <v>ҚАЗАҚСТАН, АҚМОЛА, ЗЕРЕНДІ АУДАНЫ, Зерендинский, Зеренда, 41</v>
      </c>
      <c r="T172" t="str">
        <f>"Зерендинский, Зеренда, 41"</f>
        <v>Зерендинский, Зеренда, 41</v>
      </c>
      <c r="U172" t="str">
        <f>"Зерендинский, Зеренда, 41"</f>
        <v>Зерендинский, Зеренда, 41</v>
      </c>
      <c r="AC172" t="str">
        <f>"2023-08-25T00:00:00"</f>
        <v>2023-08-25T00:00:00</v>
      </c>
      <c r="AD172" t="str">
        <f>"45"</f>
        <v>45</v>
      </c>
      <c r="AE172" t="str">
        <f>"2024-09-01T12:01:29"</f>
        <v>2024-09-01T12:01:29</v>
      </c>
      <c r="AF172" t="str">
        <f>"2025-05-25T12:01:29"</f>
        <v>2025-05-25T12:01:29</v>
      </c>
      <c r="AG172" t="s">
        <v>290</v>
      </c>
      <c r="AI172" t="s">
        <v>291</v>
      </c>
      <c r="AK172" t="s">
        <v>866</v>
      </c>
      <c r="AP172" t="s">
        <v>293</v>
      </c>
      <c r="AQ172" t="s">
        <v>289</v>
      </c>
      <c r="AT172" t="s">
        <v>294</v>
      </c>
      <c r="AU172" t="s">
        <v>295</v>
      </c>
      <c r="AW172" t="s">
        <v>296</v>
      </c>
      <c r="AX172">
        <v>1</v>
      </c>
      <c r="AY172" t="s">
        <v>297</v>
      </c>
      <c r="AZ172" t="s">
        <v>298</v>
      </c>
      <c r="BA172" t="s">
        <v>323</v>
      </c>
      <c r="BF172" t="s">
        <v>294</v>
      </c>
      <c r="BG172" t="s">
        <v>300</v>
      </c>
      <c r="BI172" t="s">
        <v>298</v>
      </c>
      <c r="BR172" t="s">
        <v>289</v>
      </c>
      <c r="BS172" t="s">
        <v>301</v>
      </c>
      <c r="BT172" t="s">
        <v>302</v>
      </c>
      <c r="BU172" t="s">
        <v>303</v>
      </c>
      <c r="BV172" t="s">
        <v>365</v>
      </c>
      <c r="BX172" t="s">
        <v>867</v>
      </c>
      <c r="BY172" t="s">
        <v>298</v>
      </c>
      <c r="CC172" t="s">
        <v>309</v>
      </c>
      <c r="CE172" t="s">
        <v>289</v>
      </c>
      <c r="CJ172" s="2">
        <v>45566</v>
      </c>
      <c r="CK172" t="s">
        <v>807</v>
      </c>
      <c r="CL172" t="s">
        <v>311</v>
      </c>
      <c r="CM172" t="s">
        <v>298</v>
      </c>
      <c r="CO172" t="s">
        <v>312</v>
      </c>
      <c r="CT172" t="s">
        <v>294</v>
      </c>
      <c r="CU172" t="s">
        <v>313</v>
      </c>
      <c r="CV172" t="s">
        <v>314</v>
      </c>
      <c r="CW172" t="s">
        <v>315</v>
      </c>
      <c r="CX172" t="s">
        <v>316</v>
      </c>
      <c r="CZ172" t="s">
        <v>289</v>
      </c>
      <c r="DA172" t="s">
        <v>289</v>
      </c>
      <c r="DB172" t="s">
        <v>289</v>
      </c>
      <c r="DC172" t="s">
        <v>289</v>
      </c>
      <c r="DI172" t="s">
        <v>289</v>
      </c>
      <c r="DL172" t="s">
        <v>289</v>
      </c>
      <c r="DM172" t="s">
        <v>376</v>
      </c>
      <c r="DN172" t="s">
        <v>304</v>
      </c>
      <c r="DS172" t="s">
        <v>289</v>
      </c>
      <c r="DT172" t="s">
        <v>289</v>
      </c>
      <c r="DU172" t="s">
        <v>318</v>
      </c>
      <c r="DV172" t="s">
        <v>289</v>
      </c>
      <c r="DX172" t="s">
        <v>319</v>
      </c>
      <c r="EA172" t="s">
        <v>289</v>
      </c>
      <c r="HW172" t="s">
        <v>294</v>
      </c>
    </row>
    <row r="173" spans="1:231" x14ac:dyDescent="0.25">
      <c r="A173">
        <v>24766244</v>
      </c>
      <c r="B173">
        <v>8803556</v>
      </c>
      <c r="C173" t="str">
        <f>"170222601890"</f>
        <v>170222601890</v>
      </c>
      <c r="D173" t="s">
        <v>898</v>
      </c>
      <c r="E173" t="s">
        <v>899</v>
      </c>
      <c r="F173" t="s">
        <v>900</v>
      </c>
      <c r="G173" s="1">
        <v>42788</v>
      </c>
      <c r="I173" t="s">
        <v>286</v>
      </c>
      <c r="J173" t="s">
        <v>287</v>
      </c>
      <c r="K173" t="s">
        <v>288</v>
      </c>
      <c r="Q173" t="s">
        <v>289</v>
      </c>
      <c r="R173" t="str">
        <f>"КАЗАХСТАН, АКМОЛИНСКАЯ, ЗЕРЕНДИНСКИЙ РАЙОН, Зерендинский, Зеренда, 9, 3"</f>
        <v>КАЗАХСТАН, АКМОЛИНСКАЯ, ЗЕРЕНДИНСКИЙ РАЙОН, Зерендинский, Зеренда, 9, 3</v>
      </c>
      <c r="S173" t="str">
        <f>"ҚАЗАҚСТАН, АҚМОЛА, ЗЕРЕНДІ АУДАНЫ, Зерендинский, Зеренда, 9, 3"</f>
        <v>ҚАЗАҚСТАН, АҚМОЛА, ЗЕРЕНДІ АУДАНЫ, Зерендинский, Зеренда, 9, 3</v>
      </c>
      <c r="T173" t="str">
        <f>"Зерендинский, Зеренда, 9, 3"</f>
        <v>Зерендинский, Зеренда, 9, 3</v>
      </c>
      <c r="U173" t="str">
        <f>"Зерендинский, Зеренда, 9, 3"</f>
        <v>Зерендинский, Зеренда, 9, 3</v>
      </c>
      <c r="AC173" t="str">
        <f>"2023-08-25T00:00:00"</f>
        <v>2023-08-25T00:00:00</v>
      </c>
      <c r="AD173" t="str">
        <f>"45"</f>
        <v>45</v>
      </c>
      <c r="AE173" t="str">
        <f>"2024-09-01T10:14:47"</f>
        <v>2024-09-01T10:14:47</v>
      </c>
      <c r="AF173" t="str">
        <f>"2025-05-25T10:14:47"</f>
        <v>2025-05-25T10:14:47</v>
      </c>
      <c r="AG173" t="s">
        <v>290</v>
      </c>
      <c r="AI173" t="s">
        <v>291</v>
      </c>
      <c r="AK173" t="s">
        <v>866</v>
      </c>
      <c r="AP173" t="s">
        <v>342</v>
      </c>
      <c r="AT173" t="s">
        <v>294</v>
      </c>
      <c r="AU173" t="s">
        <v>295</v>
      </c>
      <c r="AW173" t="s">
        <v>296</v>
      </c>
      <c r="AX173">
        <v>1</v>
      </c>
      <c r="AY173" t="s">
        <v>297</v>
      </c>
      <c r="AZ173" t="s">
        <v>298</v>
      </c>
      <c r="BA173" t="s">
        <v>323</v>
      </c>
      <c r="BF173" t="s">
        <v>294</v>
      </c>
      <c r="BG173" t="s">
        <v>300</v>
      </c>
      <c r="BI173" t="s">
        <v>298</v>
      </c>
      <c r="BR173" t="s">
        <v>289</v>
      </c>
      <c r="BS173" t="s">
        <v>301</v>
      </c>
      <c r="BT173" t="s">
        <v>302</v>
      </c>
      <c r="BU173" t="s">
        <v>303</v>
      </c>
      <c r="BV173" t="s">
        <v>365</v>
      </c>
      <c r="BX173" t="s">
        <v>867</v>
      </c>
      <c r="BY173" t="s">
        <v>298</v>
      </c>
      <c r="CC173" t="s">
        <v>309</v>
      </c>
      <c r="CE173" t="s">
        <v>289</v>
      </c>
      <c r="CJ173" s="2">
        <v>45566</v>
      </c>
      <c r="CK173" t="s">
        <v>471</v>
      </c>
      <c r="CL173" t="s">
        <v>328</v>
      </c>
      <c r="CM173" t="s">
        <v>298</v>
      </c>
      <c r="CO173" t="s">
        <v>312</v>
      </c>
      <c r="CT173" t="s">
        <v>294</v>
      </c>
      <c r="CU173" t="s">
        <v>313</v>
      </c>
      <c r="CV173" t="s">
        <v>314</v>
      </c>
      <c r="CW173" t="s">
        <v>315</v>
      </c>
      <c r="CX173" t="s">
        <v>316</v>
      </c>
      <c r="CZ173" t="s">
        <v>289</v>
      </c>
      <c r="DA173" t="s">
        <v>289</v>
      </c>
      <c r="DB173" t="s">
        <v>289</v>
      </c>
      <c r="DC173" t="s">
        <v>289</v>
      </c>
      <c r="DI173" t="s">
        <v>289</v>
      </c>
      <c r="DL173" t="s">
        <v>289</v>
      </c>
      <c r="DM173" t="s">
        <v>317</v>
      </c>
      <c r="DS173" t="s">
        <v>289</v>
      </c>
      <c r="DT173" t="s">
        <v>289</v>
      </c>
      <c r="DU173" t="s">
        <v>318</v>
      </c>
      <c r="DV173" t="s">
        <v>289</v>
      </c>
      <c r="DX173" t="s">
        <v>319</v>
      </c>
      <c r="EA173" t="s">
        <v>289</v>
      </c>
      <c r="HW173" t="s">
        <v>294</v>
      </c>
    </row>
    <row r="174" spans="1:231" x14ac:dyDescent="0.25">
      <c r="A174">
        <v>24908496</v>
      </c>
      <c r="B174">
        <v>7380928</v>
      </c>
      <c r="C174" t="str">
        <f>"170815604224"</f>
        <v>170815604224</v>
      </c>
      <c r="D174" t="s">
        <v>901</v>
      </c>
      <c r="E174" t="s">
        <v>400</v>
      </c>
      <c r="G174" s="1">
        <v>42962</v>
      </c>
      <c r="I174" t="s">
        <v>286</v>
      </c>
      <c r="J174" t="s">
        <v>287</v>
      </c>
      <c r="K174" t="s">
        <v>288</v>
      </c>
      <c r="Q174" t="s">
        <v>289</v>
      </c>
      <c r="R174" t="str">
        <f>"КАЗАХСТАН, АКМОЛИНСКАЯ, КОКШЕТАУ, 48, 41"</f>
        <v>КАЗАХСТАН, АКМОЛИНСКАЯ, КОКШЕТАУ, 48, 41</v>
      </c>
      <c r="S174" t="str">
        <f>"ҚАЗАҚСТАН, АҚМОЛА, КӨКШЕТАУ, 48, 41"</f>
        <v>ҚАЗАҚСТАН, АҚМОЛА, КӨКШЕТАУ, 48, 41</v>
      </c>
      <c r="T174" t="str">
        <f>"48, 41"</f>
        <v>48, 41</v>
      </c>
      <c r="U174" t="str">
        <f>"48, 41"</f>
        <v>48, 41</v>
      </c>
      <c r="AC174" t="str">
        <f>"2023-08-25T00:00:00"</f>
        <v>2023-08-25T00:00:00</v>
      </c>
      <c r="AD174" t="str">
        <f>"45"</f>
        <v>45</v>
      </c>
      <c r="AE174" t="str">
        <f>"2024-09-01T10:16:27"</f>
        <v>2024-09-01T10:16:27</v>
      </c>
      <c r="AF174" t="str">
        <f>"2025-05-25T10:16:27"</f>
        <v>2025-05-25T10:16:27</v>
      </c>
      <c r="AG174" t="s">
        <v>290</v>
      </c>
      <c r="AI174" t="s">
        <v>291</v>
      </c>
      <c r="AK174" t="s">
        <v>866</v>
      </c>
      <c r="AP174" t="s">
        <v>342</v>
      </c>
      <c r="AT174" t="s">
        <v>294</v>
      </c>
      <c r="AU174" t="s">
        <v>295</v>
      </c>
      <c r="AW174" t="s">
        <v>296</v>
      </c>
      <c r="AX174">
        <v>1</v>
      </c>
      <c r="AY174" t="s">
        <v>297</v>
      </c>
      <c r="AZ174" t="s">
        <v>298</v>
      </c>
      <c r="BA174" t="s">
        <v>299</v>
      </c>
      <c r="BF174" t="s">
        <v>294</v>
      </c>
      <c r="BG174" t="s">
        <v>300</v>
      </c>
      <c r="BI174" t="s">
        <v>298</v>
      </c>
      <c r="BR174" t="s">
        <v>289</v>
      </c>
      <c r="BS174" t="s">
        <v>301</v>
      </c>
      <c r="BT174" t="s">
        <v>302</v>
      </c>
      <c r="BU174" t="s">
        <v>303</v>
      </c>
      <c r="BV174" t="s">
        <v>365</v>
      </c>
      <c r="BX174" t="s">
        <v>867</v>
      </c>
      <c r="BY174" t="s">
        <v>298</v>
      </c>
      <c r="CC174" t="s">
        <v>309</v>
      </c>
      <c r="CE174" t="s">
        <v>289</v>
      </c>
      <c r="CJ174" s="3">
        <v>45901</v>
      </c>
      <c r="CK174" t="s">
        <v>467</v>
      </c>
      <c r="CL174" t="s">
        <v>328</v>
      </c>
      <c r="CM174" t="s">
        <v>625</v>
      </c>
      <c r="CN174" t="s">
        <v>487</v>
      </c>
      <c r="CO174" t="s">
        <v>312</v>
      </c>
      <c r="CT174" t="s">
        <v>294</v>
      </c>
      <c r="CU174" t="s">
        <v>313</v>
      </c>
      <c r="CV174" t="s">
        <v>314</v>
      </c>
      <c r="CW174" t="s">
        <v>315</v>
      </c>
      <c r="CX174" t="s">
        <v>316</v>
      </c>
      <c r="CZ174" t="s">
        <v>289</v>
      </c>
      <c r="DA174" t="s">
        <v>289</v>
      </c>
      <c r="DB174" t="s">
        <v>289</v>
      </c>
      <c r="DC174" t="s">
        <v>289</v>
      </c>
      <c r="DI174" t="s">
        <v>289</v>
      </c>
      <c r="DL174" t="s">
        <v>289</v>
      </c>
      <c r="DM174" t="s">
        <v>317</v>
      </c>
      <c r="DS174" t="s">
        <v>289</v>
      </c>
      <c r="DT174" t="s">
        <v>289</v>
      </c>
      <c r="DU174" t="s">
        <v>318</v>
      </c>
      <c r="DV174" t="s">
        <v>289</v>
      </c>
      <c r="DX174" t="s">
        <v>319</v>
      </c>
      <c r="EA174" t="s">
        <v>289</v>
      </c>
      <c r="HW174" t="s">
        <v>294</v>
      </c>
    </row>
    <row r="175" spans="1:231" x14ac:dyDescent="0.25">
      <c r="A175">
        <v>24909179</v>
      </c>
      <c r="B175">
        <v>8985593</v>
      </c>
      <c r="C175" t="str">
        <f>"170711500478"</f>
        <v>170711500478</v>
      </c>
      <c r="D175" t="s">
        <v>902</v>
      </c>
      <c r="E175" t="s">
        <v>903</v>
      </c>
      <c r="F175" t="s">
        <v>514</v>
      </c>
      <c r="G175" s="1">
        <v>42927</v>
      </c>
      <c r="I175" t="s">
        <v>353</v>
      </c>
      <c r="J175" t="s">
        <v>287</v>
      </c>
      <c r="K175" t="s">
        <v>288</v>
      </c>
      <c r="Q175" t="s">
        <v>289</v>
      </c>
      <c r="R175" t="str">
        <f>"КАЗАХСТАН, АКМОЛИНСКАЯ, ЗЕРЕНДИНСКИЙ РАЙОН, Зерендинский, Зеренда, 36, 7"</f>
        <v>КАЗАХСТАН, АКМОЛИНСКАЯ, ЗЕРЕНДИНСКИЙ РАЙОН, Зерендинский, Зеренда, 36, 7</v>
      </c>
      <c r="S175" t="str">
        <f>"ҚАЗАҚСТАН, АҚМОЛА, ЗЕРЕНДІ АУДАНЫ, Зерендинский, Зеренда, 36, 7"</f>
        <v>ҚАЗАҚСТАН, АҚМОЛА, ЗЕРЕНДІ АУДАНЫ, Зерендинский, Зеренда, 36, 7</v>
      </c>
      <c r="T175" t="str">
        <f>"Зерендинский, Зеренда, 36, 7"</f>
        <v>Зерендинский, Зеренда, 36, 7</v>
      </c>
      <c r="U175" t="str">
        <f>"Зерендинский, Зеренда, 36, 7"</f>
        <v>Зерендинский, Зеренда, 36, 7</v>
      </c>
      <c r="AC175" t="str">
        <f>"2023-08-25T00:00:00"</f>
        <v>2023-08-25T00:00:00</v>
      </c>
      <c r="AD175" t="str">
        <f>"45"</f>
        <v>45</v>
      </c>
      <c r="AE175" t="str">
        <f>"2024-09-01T10:17:34"</f>
        <v>2024-09-01T10:17:34</v>
      </c>
      <c r="AF175" t="str">
        <f>"2025-05-25T10:17:34"</f>
        <v>2025-05-25T10:17:34</v>
      </c>
      <c r="AG175" t="s">
        <v>290</v>
      </c>
      <c r="AI175" t="s">
        <v>291</v>
      </c>
      <c r="AK175" t="s">
        <v>866</v>
      </c>
      <c r="AP175" t="s">
        <v>342</v>
      </c>
      <c r="AT175" t="s">
        <v>294</v>
      </c>
      <c r="AU175" t="s">
        <v>295</v>
      </c>
      <c r="AW175" t="s">
        <v>296</v>
      </c>
      <c r="AX175">
        <v>1</v>
      </c>
      <c r="AY175" t="s">
        <v>297</v>
      </c>
      <c r="AZ175" t="s">
        <v>298</v>
      </c>
      <c r="BA175" t="s">
        <v>299</v>
      </c>
      <c r="BF175" t="s">
        <v>294</v>
      </c>
      <c r="BG175" t="s">
        <v>300</v>
      </c>
      <c r="BI175" t="s">
        <v>298</v>
      </c>
      <c r="BR175" t="s">
        <v>289</v>
      </c>
      <c r="BS175" t="s">
        <v>301</v>
      </c>
      <c r="BT175" t="s">
        <v>302</v>
      </c>
      <c r="BU175" t="s">
        <v>303</v>
      </c>
      <c r="BV175" t="s">
        <v>365</v>
      </c>
      <c r="BX175" t="s">
        <v>867</v>
      </c>
      <c r="BY175" t="s">
        <v>298</v>
      </c>
      <c r="CC175" t="s">
        <v>309</v>
      </c>
      <c r="CE175" t="s">
        <v>289</v>
      </c>
      <c r="CJ175" s="3">
        <v>45901</v>
      </c>
      <c r="CK175" t="s">
        <v>335</v>
      </c>
      <c r="CM175" t="s">
        <v>507</v>
      </c>
      <c r="CN175" t="s">
        <v>328</v>
      </c>
      <c r="CO175" t="s">
        <v>312</v>
      </c>
      <c r="CT175" t="s">
        <v>294</v>
      </c>
      <c r="CU175" t="s">
        <v>313</v>
      </c>
      <c r="CV175" t="s">
        <v>314</v>
      </c>
      <c r="CW175" t="s">
        <v>315</v>
      </c>
      <c r="CX175" t="s">
        <v>316</v>
      </c>
      <c r="CZ175" t="s">
        <v>289</v>
      </c>
      <c r="DA175" t="s">
        <v>289</v>
      </c>
      <c r="DB175" t="s">
        <v>289</v>
      </c>
      <c r="DC175" t="s">
        <v>289</v>
      </c>
      <c r="DI175" t="s">
        <v>289</v>
      </c>
      <c r="DL175" t="s">
        <v>289</v>
      </c>
      <c r="DM175" t="s">
        <v>376</v>
      </c>
      <c r="DN175" t="s">
        <v>304</v>
      </c>
      <c r="DS175" t="s">
        <v>289</v>
      </c>
      <c r="DT175" t="s">
        <v>289</v>
      </c>
      <c r="DU175" t="s">
        <v>318</v>
      </c>
      <c r="DV175" t="s">
        <v>289</v>
      </c>
      <c r="DX175" t="s">
        <v>319</v>
      </c>
      <c r="EA175" t="s">
        <v>289</v>
      </c>
      <c r="HW175" t="s">
        <v>294</v>
      </c>
    </row>
    <row r="176" spans="1:231" x14ac:dyDescent="0.25">
      <c r="A176">
        <v>24918305</v>
      </c>
      <c r="B176">
        <v>8803313</v>
      </c>
      <c r="C176" t="str">
        <f>"171129602201"</f>
        <v>171129602201</v>
      </c>
      <c r="D176" t="s">
        <v>797</v>
      </c>
      <c r="E176" t="s">
        <v>897</v>
      </c>
      <c r="F176" t="s">
        <v>904</v>
      </c>
      <c r="G176" s="1">
        <v>43068</v>
      </c>
      <c r="I176" t="s">
        <v>286</v>
      </c>
      <c r="J176" t="s">
        <v>287</v>
      </c>
      <c r="K176" t="s">
        <v>288</v>
      </c>
      <c r="Q176" t="s">
        <v>289</v>
      </c>
      <c r="R176" t="str">
        <f>"КАЗАХСТАН, АКМОЛИНСКАЯ, ЗЕРЕНДИНСКИЙ РАЙОН, Зерендинский, Зеренда, 18"</f>
        <v>КАЗАХСТАН, АКМОЛИНСКАЯ, ЗЕРЕНДИНСКИЙ РАЙОН, Зерендинский, Зеренда, 18</v>
      </c>
      <c r="S176" t="str">
        <f>"ҚАЗАҚСТАН, АҚМОЛА, ЗЕРЕНДІ АУДАНЫ, Зерендинский, Зеренда, 18"</f>
        <v>ҚАЗАҚСТАН, АҚМОЛА, ЗЕРЕНДІ АУДАНЫ, Зерендинский, Зеренда, 18</v>
      </c>
      <c r="T176" t="str">
        <f>"Зерендинский, Зеренда, 18"</f>
        <v>Зерендинский, Зеренда, 18</v>
      </c>
      <c r="U176" t="str">
        <f>"Зерендинский, Зеренда, 18"</f>
        <v>Зерендинский, Зеренда, 18</v>
      </c>
      <c r="AC176" t="str">
        <f>"2023-08-25T00:00:00"</f>
        <v>2023-08-25T00:00:00</v>
      </c>
      <c r="AD176" t="str">
        <f>"45"</f>
        <v>45</v>
      </c>
      <c r="AE176" t="str">
        <f>"2024-09-01T10:18:24"</f>
        <v>2024-09-01T10:18:24</v>
      </c>
      <c r="AF176" t="str">
        <f>"2025-05-25T10:18:24"</f>
        <v>2025-05-25T10:18:24</v>
      </c>
      <c r="AG176" t="s">
        <v>290</v>
      </c>
      <c r="AI176" t="s">
        <v>291</v>
      </c>
      <c r="AK176" t="s">
        <v>866</v>
      </c>
      <c r="AP176" t="s">
        <v>342</v>
      </c>
      <c r="AT176" t="s">
        <v>294</v>
      </c>
      <c r="AU176" t="s">
        <v>295</v>
      </c>
      <c r="AW176" t="s">
        <v>296</v>
      </c>
      <c r="AX176">
        <v>1</v>
      </c>
      <c r="AY176" t="s">
        <v>297</v>
      </c>
      <c r="AZ176" t="s">
        <v>298</v>
      </c>
      <c r="BA176" t="s">
        <v>299</v>
      </c>
      <c r="BF176" t="s">
        <v>294</v>
      </c>
      <c r="BG176" t="s">
        <v>300</v>
      </c>
      <c r="BI176" t="s">
        <v>298</v>
      </c>
      <c r="BR176" t="s">
        <v>289</v>
      </c>
      <c r="BS176" t="s">
        <v>301</v>
      </c>
      <c r="BT176" t="s">
        <v>302</v>
      </c>
      <c r="BU176" t="s">
        <v>303</v>
      </c>
      <c r="BV176" t="s">
        <v>365</v>
      </c>
      <c r="BX176" t="s">
        <v>867</v>
      </c>
      <c r="BY176" t="s">
        <v>298</v>
      </c>
      <c r="CC176" t="s">
        <v>309</v>
      </c>
      <c r="CE176" t="s">
        <v>289</v>
      </c>
      <c r="CJ176" s="2">
        <v>45566</v>
      </c>
      <c r="CK176" t="s">
        <v>467</v>
      </c>
      <c r="CL176" t="s">
        <v>328</v>
      </c>
      <c r="CM176" t="s">
        <v>625</v>
      </c>
      <c r="CN176" t="s">
        <v>487</v>
      </c>
      <c r="CO176" t="s">
        <v>312</v>
      </c>
      <c r="CT176" t="s">
        <v>294</v>
      </c>
      <c r="CU176" t="s">
        <v>313</v>
      </c>
      <c r="CV176" t="s">
        <v>314</v>
      </c>
      <c r="CW176" t="s">
        <v>315</v>
      </c>
      <c r="CX176" t="s">
        <v>316</v>
      </c>
      <c r="CZ176" t="s">
        <v>289</v>
      </c>
      <c r="DA176" t="s">
        <v>289</v>
      </c>
      <c r="DB176" t="s">
        <v>289</v>
      </c>
      <c r="DC176" t="s">
        <v>289</v>
      </c>
      <c r="DI176" t="s">
        <v>289</v>
      </c>
      <c r="DL176" t="s">
        <v>289</v>
      </c>
      <c r="DM176" t="s">
        <v>317</v>
      </c>
      <c r="DS176" t="s">
        <v>289</v>
      </c>
      <c r="DT176" t="s">
        <v>289</v>
      </c>
      <c r="DU176" t="s">
        <v>318</v>
      </c>
      <c r="DV176" t="s">
        <v>289</v>
      </c>
      <c r="DX176" t="s">
        <v>319</v>
      </c>
      <c r="EA176" t="s">
        <v>289</v>
      </c>
      <c r="HW176" t="s">
        <v>294</v>
      </c>
    </row>
    <row r="177" spans="1:231" x14ac:dyDescent="0.25">
      <c r="A177">
        <v>24928525</v>
      </c>
      <c r="B177">
        <v>7380307</v>
      </c>
      <c r="C177" t="str">
        <f>"170907500780"</f>
        <v>170907500780</v>
      </c>
      <c r="D177" t="s">
        <v>905</v>
      </c>
      <c r="E177" t="s">
        <v>906</v>
      </c>
      <c r="F177" t="s">
        <v>907</v>
      </c>
      <c r="G177" s="1">
        <v>42985</v>
      </c>
      <c r="I177" t="s">
        <v>353</v>
      </c>
      <c r="J177" t="s">
        <v>287</v>
      </c>
      <c r="K177" t="s">
        <v>288</v>
      </c>
      <c r="Q177" t="s">
        <v>289</v>
      </c>
      <c r="R177" t="str">
        <f>"КАЗАХСТАН, АКМОЛИНСКАЯ, ЗЕРЕНДИНСКИЙ РАЙОН, Зерендинский, Зеренда, 19"</f>
        <v>КАЗАХСТАН, АКМОЛИНСКАЯ, ЗЕРЕНДИНСКИЙ РАЙОН, Зерендинский, Зеренда, 19</v>
      </c>
      <c r="S177" t="str">
        <f>"ҚАЗАҚСТАН, АҚМОЛА, ЗЕРЕНДІ АУДАНЫ, Зерендинский, Зеренда, 19"</f>
        <v>ҚАЗАҚСТАН, АҚМОЛА, ЗЕРЕНДІ АУДАНЫ, Зерендинский, Зеренда, 19</v>
      </c>
      <c r="T177" t="str">
        <f>"Зерендинский, Зеренда, 19"</f>
        <v>Зерендинский, Зеренда, 19</v>
      </c>
      <c r="U177" t="str">
        <f>"Зерендинский, Зеренда, 19"</f>
        <v>Зерендинский, Зеренда, 19</v>
      </c>
      <c r="AC177" t="str">
        <f>"2023-08-25T00:00:00"</f>
        <v>2023-08-25T00:00:00</v>
      </c>
      <c r="AD177" t="str">
        <f>"45"</f>
        <v>45</v>
      </c>
      <c r="AE177" t="str">
        <f>"2024-09-01T10:06:59"</f>
        <v>2024-09-01T10:06:59</v>
      </c>
      <c r="AF177" t="str">
        <f>"2025-05-25T10:06:59"</f>
        <v>2025-05-25T10:06:59</v>
      </c>
      <c r="AG177" t="s">
        <v>290</v>
      </c>
      <c r="AI177" t="s">
        <v>291</v>
      </c>
      <c r="AK177" t="s">
        <v>866</v>
      </c>
      <c r="AP177" t="s">
        <v>293</v>
      </c>
      <c r="AT177" t="s">
        <v>294</v>
      </c>
      <c r="AU177" t="s">
        <v>295</v>
      </c>
      <c r="AW177" t="s">
        <v>296</v>
      </c>
      <c r="AX177">
        <v>1</v>
      </c>
      <c r="AY177" t="s">
        <v>297</v>
      </c>
      <c r="AZ177" t="s">
        <v>298</v>
      </c>
      <c r="BA177" t="s">
        <v>299</v>
      </c>
      <c r="BF177" t="s">
        <v>294</v>
      </c>
      <c r="BG177" t="s">
        <v>300</v>
      </c>
      <c r="BI177" t="s">
        <v>298</v>
      </c>
      <c r="BR177" t="s">
        <v>289</v>
      </c>
      <c r="BS177" t="s">
        <v>301</v>
      </c>
      <c r="BT177" t="s">
        <v>302</v>
      </c>
      <c r="BU177" t="s">
        <v>303</v>
      </c>
      <c r="BV177" t="s">
        <v>365</v>
      </c>
      <c r="BX177" t="s">
        <v>867</v>
      </c>
      <c r="BY177" t="s">
        <v>298</v>
      </c>
      <c r="CC177" t="s">
        <v>309</v>
      </c>
      <c r="CE177" t="s">
        <v>289</v>
      </c>
      <c r="CJ177" s="2">
        <v>45566</v>
      </c>
      <c r="CK177" t="s">
        <v>471</v>
      </c>
      <c r="CL177" t="s">
        <v>328</v>
      </c>
      <c r="CM177" t="s">
        <v>298</v>
      </c>
      <c r="CO177" t="s">
        <v>312</v>
      </c>
      <c r="CT177" t="s">
        <v>294</v>
      </c>
      <c r="CU177" t="s">
        <v>313</v>
      </c>
      <c r="CV177" t="s">
        <v>314</v>
      </c>
      <c r="CW177" t="s">
        <v>315</v>
      </c>
      <c r="CX177" t="s">
        <v>316</v>
      </c>
      <c r="CZ177" t="s">
        <v>289</v>
      </c>
      <c r="DA177" t="s">
        <v>289</v>
      </c>
      <c r="DB177" t="s">
        <v>289</v>
      </c>
      <c r="DC177" t="s">
        <v>289</v>
      </c>
      <c r="DI177" t="s">
        <v>289</v>
      </c>
      <c r="DL177" t="s">
        <v>289</v>
      </c>
      <c r="DM177" t="s">
        <v>317</v>
      </c>
      <c r="DS177" t="s">
        <v>289</v>
      </c>
      <c r="DT177" t="s">
        <v>289</v>
      </c>
      <c r="DU177" t="s">
        <v>318</v>
      </c>
      <c r="DV177" t="s">
        <v>289</v>
      </c>
      <c r="DX177" t="s">
        <v>319</v>
      </c>
      <c r="EA177" t="s">
        <v>289</v>
      </c>
      <c r="HW177" t="s">
        <v>294</v>
      </c>
    </row>
    <row r="178" spans="1:231" x14ac:dyDescent="0.25">
      <c r="A178">
        <v>24987068</v>
      </c>
      <c r="B178">
        <v>9338613</v>
      </c>
      <c r="C178" t="str">
        <f>"171209504137"</f>
        <v>171209504137</v>
      </c>
      <c r="D178" t="s">
        <v>628</v>
      </c>
      <c r="E178" t="s">
        <v>908</v>
      </c>
      <c r="F178" t="s">
        <v>630</v>
      </c>
      <c r="G178" s="1">
        <v>43078</v>
      </c>
      <c r="I178" t="s">
        <v>353</v>
      </c>
      <c r="J178" t="s">
        <v>287</v>
      </c>
      <c r="K178" t="s">
        <v>288</v>
      </c>
      <c r="Q178" t="s">
        <v>289</v>
      </c>
      <c r="R178" t="str">
        <f>"КАЗАХСТАН, АКМОЛИНСКАЯ, ЗЕРЕНДИНСКИЙ РАЙОН, Викторовский, Викторовка, 34"</f>
        <v>КАЗАХСТАН, АКМОЛИНСКАЯ, ЗЕРЕНДИНСКИЙ РАЙОН, Викторовский, Викторовка, 34</v>
      </c>
      <c r="S178" t="str">
        <f>"ҚАЗАҚСТАН, АҚМОЛА, ЗЕРЕНДІ АУДАНЫ, Викторовский, Викторовка, 34"</f>
        <v>ҚАЗАҚСТАН, АҚМОЛА, ЗЕРЕНДІ АУДАНЫ, Викторовский, Викторовка, 34</v>
      </c>
      <c r="T178" t="str">
        <f>"Викторовский, Викторовка, 34"</f>
        <v>Викторовский, Викторовка, 34</v>
      </c>
      <c r="U178" t="str">
        <f>"Викторовский, Викторовка, 34"</f>
        <v>Викторовский, Викторовка, 34</v>
      </c>
      <c r="AC178" t="str">
        <f>"2023-08-25T00:00:00"</f>
        <v>2023-08-25T00:00:00</v>
      </c>
      <c r="AD178" t="str">
        <f>"45"</f>
        <v>45</v>
      </c>
      <c r="AE178" t="str">
        <f>"2024-09-01T10:20:34"</f>
        <v>2024-09-01T10:20:34</v>
      </c>
      <c r="AF178" t="str">
        <f>"2025-05-25T10:20:34"</f>
        <v>2025-05-25T10:20:34</v>
      </c>
      <c r="AG178" t="s">
        <v>290</v>
      </c>
      <c r="AI178" t="s">
        <v>291</v>
      </c>
      <c r="AK178" t="s">
        <v>866</v>
      </c>
      <c r="AP178" t="s">
        <v>342</v>
      </c>
      <c r="AT178" t="s">
        <v>294</v>
      </c>
      <c r="AU178" t="s">
        <v>295</v>
      </c>
      <c r="AW178" t="s">
        <v>296</v>
      </c>
      <c r="AX178">
        <v>1</v>
      </c>
      <c r="AY178" t="s">
        <v>297</v>
      </c>
      <c r="AZ178" t="s">
        <v>298</v>
      </c>
      <c r="BA178" t="s">
        <v>299</v>
      </c>
      <c r="BF178" t="s">
        <v>294</v>
      </c>
      <c r="BG178" t="s">
        <v>300</v>
      </c>
      <c r="BI178" t="s">
        <v>298</v>
      </c>
      <c r="BR178" t="s">
        <v>289</v>
      </c>
      <c r="BS178" t="s">
        <v>301</v>
      </c>
      <c r="BT178" t="s">
        <v>302</v>
      </c>
      <c r="BU178" t="s">
        <v>303</v>
      </c>
      <c r="BV178" t="s">
        <v>365</v>
      </c>
      <c r="BX178" t="s">
        <v>867</v>
      </c>
      <c r="BY178" t="s">
        <v>298</v>
      </c>
      <c r="CC178" t="s">
        <v>309</v>
      </c>
      <c r="CE178" t="s">
        <v>289</v>
      </c>
      <c r="CJ178" s="2">
        <v>45566</v>
      </c>
      <c r="CK178" t="s">
        <v>375</v>
      </c>
      <c r="CL178" t="s">
        <v>328</v>
      </c>
      <c r="CM178" t="s">
        <v>298</v>
      </c>
      <c r="CO178" t="s">
        <v>312</v>
      </c>
      <c r="CT178" t="s">
        <v>294</v>
      </c>
      <c r="CU178" t="s">
        <v>313</v>
      </c>
      <c r="CV178" t="s">
        <v>314</v>
      </c>
      <c r="CW178" t="s">
        <v>315</v>
      </c>
      <c r="CX178" t="s">
        <v>316</v>
      </c>
      <c r="CZ178" t="s">
        <v>289</v>
      </c>
      <c r="DA178" t="s">
        <v>289</v>
      </c>
      <c r="DB178" t="s">
        <v>289</v>
      </c>
      <c r="DC178" t="s">
        <v>289</v>
      </c>
      <c r="DI178" t="s">
        <v>289</v>
      </c>
      <c r="DL178" t="s">
        <v>289</v>
      </c>
      <c r="DM178" t="s">
        <v>317</v>
      </c>
      <c r="DS178" t="s">
        <v>289</v>
      </c>
      <c r="DT178" t="s">
        <v>289</v>
      </c>
      <c r="DU178" t="s">
        <v>318</v>
      </c>
      <c r="DV178" t="s">
        <v>289</v>
      </c>
      <c r="DX178" t="s">
        <v>319</v>
      </c>
      <c r="EA178" t="s">
        <v>289</v>
      </c>
      <c r="HW178" t="s">
        <v>294</v>
      </c>
    </row>
    <row r="179" spans="1:231" x14ac:dyDescent="0.25">
      <c r="A179">
        <v>25113791</v>
      </c>
      <c r="B179">
        <v>7380291</v>
      </c>
      <c r="C179" t="str">
        <f>"171203600158"</f>
        <v>171203600158</v>
      </c>
      <c r="D179" t="s">
        <v>909</v>
      </c>
      <c r="E179" t="s">
        <v>910</v>
      </c>
      <c r="F179" t="s">
        <v>911</v>
      </c>
      <c r="G179" s="1">
        <v>43072</v>
      </c>
      <c r="I179" t="s">
        <v>286</v>
      </c>
      <c r="J179" t="s">
        <v>287</v>
      </c>
      <c r="K179" t="s">
        <v>288</v>
      </c>
      <c r="Q179" t="s">
        <v>289</v>
      </c>
      <c r="R179" t="str">
        <f>"КАЗАХСТАН, АКМОЛИНСКАЯ, ЗЕРЕНДИНСКИЙ РАЙОН, Зерендинский, Зеренда, 9, 1"</f>
        <v>КАЗАХСТАН, АКМОЛИНСКАЯ, ЗЕРЕНДИНСКИЙ РАЙОН, Зерендинский, Зеренда, 9, 1</v>
      </c>
      <c r="S179" t="str">
        <f>"ҚАЗАҚСТАН, АҚМОЛА, ЗЕРЕНДІ АУДАНЫ, Зерендинский, Зеренда, 9, 1"</f>
        <v>ҚАЗАҚСТАН, АҚМОЛА, ЗЕРЕНДІ АУДАНЫ, Зерендинский, Зеренда, 9, 1</v>
      </c>
      <c r="T179" t="str">
        <f>"Зерендинский, Зеренда, 9, 1"</f>
        <v>Зерендинский, Зеренда, 9, 1</v>
      </c>
      <c r="U179" t="str">
        <f>"Зерендинский, Зеренда, 9, 1"</f>
        <v>Зерендинский, Зеренда, 9, 1</v>
      </c>
      <c r="AC179" t="str">
        <f>"2023-08-25T00:00:00"</f>
        <v>2023-08-25T00:00:00</v>
      </c>
      <c r="AD179" t="str">
        <f>"45"</f>
        <v>45</v>
      </c>
      <c r="AE179" t="str">
        <f>"2024-09-01T10:26:04"</f>
        <v>2024-09-01T10:26:04</v>
      </c>
      <c r="AF179" t="str">
        <f>"2025-05-25T10:26:04"</f>
        <v>2025-05-25T10:26:04</v>
      </c>
      <c r="AG179" t="s">
        <v>290</v>
      </c>
      <c r="AI179" t="s">
        <v>291</v>
      </c>
      <c r="AK179" t="s">
        <v>866</v>
      </c>
      <c r="AP179" t="s">
        <v>342</v>
      </c>
      <c r="AT179" t="s">
        <v>294</v>
      </c>
      <c r="AU179" t="s">
        <v>295</v>
      </c>
      <c r="AW179" t="s">
        <v>296</v>
      </c>
      <c r="AX179">
        <v>1</v>
      </c>
      <c r="AY179" t="s">
        <v>297</v>
      </c>
      <c r="AZ179" t="s">
        <v>298</v>
      </c>
      <c r="BA179" t="s">
        <v>299</v>
      </c>
      <c r="BF179" t="s">
        <v>294</v>
      </c>
      <c r="BG179" t="s">
        <v>300</v>
      </c>
      <c r="BI179" t="s">
        <v>298</v>
      </c>
      <c r="BR179" t="s">
        <v>289</v>
      </c>
      <c r="BS179" t="s">
        <v>301</v>
      </c>
      <c r="BT179" t="s">
        <v>302</v>
      </c>
      <c r="BU179" t="s">
        <v>303</v>
      </c>
      <c r="BV179" t="s">
        <v>365</v>
      </c>
      <c r="BX179" t="s">
        <v>867</v>
      </c>
      <c r="BY179" t="s">
        <v>298</v>
      </c>
      <c r="CC179" t="s">
        <v>309</v>
      </c>
      <c r="CE179" t="s">
        <v>289</v>
      </c>
      <c r="CJ179" t="s">
        <v>704</v>
      </c>
      <c r="CK179" t="s">
        <v>467</v>
      </c>
      <c r="CL179" t="s">
        <v>328</v>
      </c>
      <c r="CM179" t="s">
        <v>298</v>
      </c>
      <c r="CO179" t="s">
        <v>312</v>
      </c>
      <c r="CT179" t="s">
        <v>294</v>
      </c>
      <c r="CU179" t="s">
        <v>313</v>
      </c>
      <c r="CV179" t="s">
        <v>314</v>
      </c>
      <c r="CW179" t="s">
        <v>315</v>
      </c>
      <c r="CX179" t="s">
        <v>316</v>
      </c>
      <c r="CZ179" t="s">
        <v>289</v>
      </c>
      <c r="DA179" t="s">
        <v>289</v>
      </c>
      <c r="DB179" t="s">
        <v>289</v>
      </c>
      <c r="DC179" t="s">
        <v>289</v>
      </c>
      <c r="DI179" t="s">
        <v>289</v>
      </c>
      <c r="DL179" t="s">
        <v>289</v>
      </c>
      <c r="DM179" t="s">
        <v>815</v>
      </c>
      <c r="DN179" t="s">
        <v>304</v>
      </c>
      <c r="DO179" t="str">
        <f>"2121"</f>
        <v>2121</v>
      </c>
      <c r="DQ179" t="str">
        <f>"2023-10-18T00:00:00"</f>
        <v>2023-10-18T00:00:00</v>
      </c>
      <c r="DS179" t="s">
        <v>289</v>
      </c>
      <c r="DT179" t="s">
        <v>289</v>
      </c>
      <c r="DU179" t="s">
        <v>318</v>
      </c>
      <c r="DV179" t="s">
        <v>289</v>
      </c>
      <c r="DX179" t="s">
        <v>319</v>
      </c>
      <c r="EA179" t="s">
        <v>289</v>
      </c>
      <c r="HW179" t="s">
        <v>294</v>
      </c>
    </row>
    <row r="180" spans="1:231" x14ac:dyDescent="0.25">
      <c r="A180">
        <v>25135952</v>
      </c>
      <c r="B180">
        <v>79764</v>
      </c>
      <c r="C180" t="str">
        <f>"121120504124"</f>
        <v>121120504124</v>
      </c>
      <c r="D180" t="s">
        <v>912</v>
      </c>
      <c r="E180" t="s">
        <v>913</v>
      </c>
      <c r="F180" t="s">
        <v>615</v>
      </c>
      <c r="G180" s="1">
        <v>41233</v>
      </c>
      <c r="I180" t="s">
        <v>353</v>
      </c>
      <c r="J180" t="s">
        <v>287</v>
      </c>
      <c r="K180" t="s">
        <v>288</v>
      </c>
      <c r="Q180" t="s">
        <v>289</v>
      </c>
      <c r="R180" t="str">
        <f>"КАЗАХСТАН, АКМОЛИНСКАЯ, ЗЕРЕНДИНСКИЙ РАЙОН, КОСТОМАРОВКА, 35"</f>
        <v>КАЗАХСТАН, АКМОЛИНСКАЯ, ЗЕРЕНДИНСКИЙ РАЙОН, КОСТОМАРОВКА, 35</v>
      </c>
      <c r="S180" t="str">
        <f>"ҚАЗАҚСТАН, АҚМОЛА, ЗЕРЕНДІ АУДАНЫ, КОСТОМАРОВКА, 35"</f>
        <v>ҚАЗАҚСТАН, АҚМОЛА, ЗЕРЕНДІ АУДАНЫ, КОСТОМАРОВКА, 35</v>
      </c>
      <c r="T180" t="str">
        <f>"КОСТОМАРОВКА, 35"</f>
        <v>КОСТОМАРОВКА, 35</v>
      </c>
      <c r="U180" t="str">
        <f>"КОСТОМАРОВКА, 35"</f>
        <v>КОСТОМАРОВКА, 35</v>
      </c>
      <c r="AC180" t="str">
        <f>"2023-08-08T00:00:00"</f>
        <v>2023-08-08T00:00:00</v>
      </c>
      <c r="AD180" t="str">
        <f>"33"</f>
        <v>33</v>
      </c>
      <c r="AE180" t="str">
        <f>"2024-09-01T13:58:39"</f>
        <v>2024-09-01T13:58:39</v>
      </c>
      <c r="AF180" t="str">
        <f>"2025-05-25T13:58:39"</f>
        <v>2025-05-25T13:58:39</v>
      </c>
      <c r="AG180" t="s">
        <v>290</v>
      </c>
      <c r="AI180" t="s">
        <v>476</v>
      </c>
      <c r="AK180" t="s">
        <v>465</v>
      </c>
      <c r="AP180" t="s">
        <v>293</v>
      </c>
      <c r="AT180" t="s">
        <v>294</v>
      </c>
      <c r="AU180" t="s">
        <v>295</v>
      </c>
      <c r="AW180" t="s">
        <v>296</v>
      </c>
      <c r="AX180">
        <v>2</v>
      </c>
      <c r="AY180" t="s">
        <v>297</v>
      </c>
      <c r="AZ180" t="s">
        <v>298</v>
      </c>
      <c r="BA180" t="s">
        <v>323</v>
      </c>
      <c r="BF180" t="s">
        <v>294</v>
      </c>
      <c r="BG180" t="s">
        <v>300</v>
      </c>
      <c r="BI180" t="s">
        <v>298</v>
      </c>
      <c r="BR180" t="s">
        <v>289</v>
      </c>
      <c r="BS180" t="s">
        <v>301</v>
      </c>
      <c r="BT180" t="s">
        <v>302</v>
      </c>
      <c r="BU180" t="s">
        <v>303</v>
      </c>
      <c r="BV180" t="s">
        <v>365</v>
      </c>
      <c r="BX180" t="s">
        <v>305</v>
      </c>
      <c r="BY180" t="s">
        <v>298</v>
      </c>
      <c r="BZ180" t="s">
        <v>491</v>
      </c>
      <c r="CA180" t="s">
        <v>914</v>
      </c>
      <c r="CC180" t="s">
        <v>308</v>
      </c>
      <c r="CD180" t="s">
        <v>309</v>
      </c>
      <c r="CE180" t="s">
        <v>294</v>
      </c>
      <c r="CK180" t="s">
        <v>375</v>
      </c>
      <c r="CL180" t="s">
        <v>328</v>
      </c>
      <c r="CM180" t="s">
        <v>298</v>
      </c>
      <c r="CO180" t="s">
        <v>312</v>
      </c>
      <c r="CT180" t="s">
        <v>294</v>
      </c>
      <c r="CU180" t="s">
        <v>313</v>
      </c>
      <c r="CV180" t="s">
        <v>314</v>
      </c>
      <c r="CW180" t="s">
        <v>315</v>
      </c>
      <c r="CX180" t="s">
        <v>316</v>
      </c>
      <c r="CZ180" t="s">
        <v>289</v>
      </c>
      <c r="DA180" t="s">
        <v>289</v>
      </c>
      <c r="DB180" t="s">
        <v>289</v>
      </c>
      <c r="DC180" t="s">
        <v>289</v>
      </c>
      <c r="DI180" t="s">
        <v>289</v>
      </c>
      <c r="DL180" t="s">
        <v>289</v>
      </c>
      <c r="DM180" t="s">
        <v>317</v>
      </c>
      <c r="DS180" t="s">
        <v>289</v>
      </c>
      <c r="DT180" t="s">
        <v>289</v>
      </c>
      <c r="DU180" t="s">
        <v>318</v>
      </c>
      <c r="DV180" t="s">
        <v>289</v>
      </c>
      <c r="DX180" t="s">
        <v>368</v>
      </c>
      <c r="DY180" t="s">
        <v>472</v>
      </c>
      <c r="DZ180" t="s">
        <v>473</v>
      </c>
      <c r="EA180" t="s">
        <v>289</v>
      </c>
    </row>
    <row r="181" spans="1:231" x14ac:dyDescent="0.25">
      <c r="A181">
        <v>25141128</v>
      </c>
      <c r="B181">
        <v>956979</v>
      </c>
      <c r="C181" t="str">
        <f>"170112600051"</f>
        <v>170112600051</v>
      </c>
      <c r="D181" t="s">
        <v>415</v>
      </c>
      <c r="E181" t="s">
        <v>915</v>
      </c>
      <c r="F181" t="s">
        <v>916</v>
      </c>
      <c r="G181" s="1">
        <v>42747</v>
      </c>
      <c r="I181" t="s">
        <v>286</v>
      </c>
      <c r="J181" t="s">
        <v>287</v>
      </c>
      <c r="K181" t="s">
        <v>288</v>
      </c>
      <c r="Q181" t="s">
        <v>289</v>
      </c>
      <c r="R181" t="str">
        <f>"КАЗАХСТАН, АКМОЛИНСКАЯ, ЗЕРЕНДИНСКИЙ РАЙОН, Зерендинский, Зеренда, 14, 1"</f>
        <v>КАЗАХСТАН, АКМОЛИНСКАЯ, ЗЕРЕНДИНСКИЙ РАЙОН, Зерендинский, Зеренда, 14, 1</v>
      </c>
      <c r="S181" t="str">
        <f>"ҚАЗАҚСТАН, АҚМОЛА, ЗЕРЕНДІ АУДАНЫ, Зерендинский, Зеренда, 14, 1"</f>
        <v>ҚАЗАҚСТАН, АҚМОЛА, ЗЕРЕНДІ АУДАНЫ, Зерендинский, Зеренда, 14, 1</v>
      </c>
      <c r="T181" t="str">
        <f>"Зерендинский, Зеренда, 14, 1"</f>
        <v>Зерендинский, Зеренда, 14, 1</v>
      </c>
      <c r="U181" t="str">
        <f>"Зерендинский, Зеренда, 14, 1"</f>
        <v>Зерендинский, Зеренда, 14, 1</v>
      </c>
      <c r="AC181" t="str">
        <f>"2023-08-25T00:00:00"</f>
        <v>2023-08-25T00:00:00</v>
      </c>
      <c r="AD181" t="str">
        <f>"45"</f>
        <v>45</v>
      </c>
      <c r="AE181" t="str">
        <f>"2024-09-01T10:07:42"</f>
        <v>2024-09-01T10:07:42</v>
      </c>
      <c r="AF181" t="str">
        <f>"2025-05-25T10:07:42"</f>
        <v>2025-05-25T10:07:42</v>
      </c>
      <c r="AG181" t="s">
        <v>290</v>
      </c>
      <c r="AI181" t="s">
        <v>291</v>
      </c>
      <c r="AK181" t="s">
        <v>866</v>
      </c>
      <c r="AP181" t="s">
        <v>293</v>
      </c>
      <c r="AT181" t="s">
        <v>294</v>
      </c>
      <c r="AU181" t="s">
        <v>295</v>
      </c>
      <c r="AW181" t="s">
        <v>296</v>
      </c>
      <c r="AX181">
        <v>1</v>
      </c>
      <c r="AY181" t="s">
        <v>297</v>
      </c>
      <c r="AZ181" t="s">
        <v>298</v>
      </c>
      <c r="BA181" t="s">
        <v>299</v>
      </c>
      <c r="BF181" t="s">
        <v>294</v>
      </c>
      <c r="BG181" t="s">
        <v>300</v>
      </c>
      <c r="BI181" t="s">
        <v>298</v>
      </c>
      <c r="BR181" t="s">
        <v>289</v>
      </c>
      <c r="BS181" t="s">
        <v>301</v>
      </c>
      <c r="BT181" t="s">
        <v>302</v>
      </c>
      <c r="BU181" t="s">
        <v>303</v>
      </c>
      <c r="BV181" t="s">
        <v>365</v>
      </c>
      <c r="BX181" t="s">
        <v>867</v>
      </c>
      <c r="BY181" t="s">
        <v>298</v>
      </c>
      <c r="CC181" t="s">
        <v>309</v>
      </c>
      <c r="CE181" t="s">
        <v>289</v>
      </c>
      <c r="CJ181" t="s">
        <v>704</v>
      </c>
      <c r="CK181" t="s">
        <v>467</v>
      </c>
      <c r="CL181" t="s">
        <v>328</v>
      </c>
      <c r="CM181" t="s">
        <v>298</v>
      </c>
      <c r="CO181" t="s">
        <v>312</v>
      </c>
      <c r="CT181" t="s">
        <v>294</v>
      </c>
      <c r="CU181" t="s">
        <v>313</v>
      </c>
      <c r="CV181" t="s">
        <v>314</v>
      </c>
      <c r="CW181" t="s">
        <v>315</v>
      </c>
      <c r="CX181" t="s">
        <v>316</v>
      </c>
      <c r="CZ181" t="s">
        <v>289</v>
      </c>
      <c r="DA181" t="s">
        <v>289</v>
      </c>
      <c r="DB181" t="s">
        <v>289</v>
      </c>
      <c r="DC181" t="s">
        <v>289</v>
      </c>
      <c r="DI181" t="s">
        <v>289</v>
      </c>
      <c r="DL181" t="s">
        <v>289</v>
      </c>
      <c r="DM181" t="s">
        <v>317</v>
      </c>
      <c r="DS181" t="s">
        <v>289</v>
      </c>
      <c r="DT181" t="s">
        <v>289</v>
      </c>
      <c r="DU181" t="s">
        <v>318</v>
      </c>
      <c r="DV181" t="s">
        <v>289</v>
      </c>
      <c r="DX181" t="s">
        <v>319</v>
      </c>
      <c r="EA181" t="s">
        <v>289</v>
      </c>
      <c r="HW181" t="s">
        <v>294</v>
      </c>
    </row>
    <row r="182" spans="1:231" x14ac:dyDescent="0.25">
      <c r="A182">
        <v>25148243</v>
      </c>
      <c r="B182">
        <v>6127538</v>
      </c>
      <c r="C182" t="str">
        <f>"120705605700"</f>
        <v>120705605700</v>
      </c>
      <c r="D182" t="s">
        <v>917</v>
      </c>
      <c r="E182" t="s">
        <v>918</v>
      </c>
      <c r="F182" t="s">
        <v>919</v>
      </c>
      <c r="G182" s="1">
        <v>41095</v>
      </c>
      <c r="I182" t="s">
        <v>286</v>
      </c>
      <c r="J182" t="s">
        <v>287</v>
      </c>
      <c r="K182" t="s">
        <v>288</v>
      </c>
      <c r="Q182" t="s">
        <v>289</v>
      </c>
      <c r="R182" t="str">
        <f>"КАЗАХСТАН, ТУРКЕСТАНСКАЯ ОБЛ., КЕЛЕССКИЙ РАЙОН, АУЫЛДЫҚ ОКРУГІ Актобинский, АУЫЛЫ Лесбек батыр, 33"</f>
        <v>КАЗАХСТАН, ТУРКЕСТАНСКАЯ ОБЛ., КЕЛЕССКИЙ РАЙОН, АУЫЛДЫҚ ОКРУГІ Актобинский, АУЫЛЫ Лесбек батыр, 33</v>
      </c>
      <c r="S182" t="str">
        <f>"ҚАЗАҚСТАН, ТҮРКІСТАН ОБЛ., КЕЛЕС АУДАНЫ, АУЫЛДЫҚ ОКРУГІ Актобинский, АУЫЛЫ Лесбек батыр, 33"</f>
        <v>ҚАЗАҚСТАН, ТҮРКІСТАН ОБЛ., КЕЛЕС АУДАНЫ, АУЫЛДЫҚ ОКРУГІ Актобинский, АУЫЛЫ Лесбек батыр, 33</v>
      </c>
      <c r="T182" t="str">
        <f>"АУЫЛДЫҚ ОКРУГІ Актобинский, АУЫЛЫ Лесбек батыр, 33"</f>
        <v>АУЫЛДЫҚ ОКРУГІ Актобинский, АУЫЛЫ Лесбек батыр, 33</v>
      </c>
      <c r="U182" t="str">
        <f>"АУЫЛДЫҚ ОКРУГІ Актобинский, АУЫЛЫ Лесбек батыр, 33"</f>
        <v>АУЫЛДЫҚ ОКРУГІ Актобинский, АУЫЛЫ Лесбек батыр, 33</v>
      </c>
      <c r="AC182" t="str">
        <f>"2023-08-18T00:00:00"</f>
        <v>2023-08-18T00:00:00</v>
      </c>
      <c r="AD182" t="str">
        <f>"41"</f>
        <v>41</v>
      </c>
      <c r="AE182" t="str">
        <f>"2024-09-01T14:48:51"</f>
        <v>2024-09-01T14:48:51</v>
      </c>
      <c r="AF182" t="str">
        <f>"2025-05-25T14:48:51"</f>
        <v>2025-05-25T14:48:51</v>
      </c>
      <c r="AG182" t="s">
        <v>747</v>
      </c>
      <c r="AI182" t="s">
        <v>558</v>
      </c>
      <c r="AK182" t="s">
        <v>292</v>
      </c>
      <c r="AP182" t="s">
        <v>293</v>
      </c>
      <c r="AT182" t="s">
        <v>294</v>
      </c>
      <c r="AU182" t="s">
        <v>295</v>
      </c>
      <c r="AW182" t="s">
        <v>296</v>
      </c>
      <c r="AX182">
        <v>2</v>
      </c>
      <c r="AY182" t="s">
        <v>297</v>
      </c>
      <c r="AZ182" t="s">
        <v>298</v>
      </c>
      <c r="BA182" t="s">
        <v>299</v>
      </c>
      <c r="BF182" t="s">
        <v>294</v>
      </c>
      <c r="BG182" t="s">
        <v>300</v>
      </c>
      <c r="BI182" t="s">
        <v>298</v>
      </c>
      <c r="BR182" t="s">
        <v>289</v>
      </c>
      <c r="BS182" t="s">
        <v>301</v>
      </c>
      <c r="BT182" t="s">
        <v>302</v>
      </c>
      <c r="BU182" t="s">
        <v>303</v>
      </c>
      <c r="BV182" t="s">
        <v>365</v>
      </c>
      <c r="BX182" t="s">
        <v>324</v>
      </c>
      <c r="BY182" t="s">
        <v>298</v>
      </c>
      <c r="BZ182" t="s">
        <v>920</v>
      </c>
      <c r="CA182" t="s">
        <v>511</v>
      </c>
      <c r="CC182" t="s">
        <v>308</v>
      </c>
      <c r="CD182" t="s">
        <v>309</v>
      </c>
      <c r="CE182" t="s">
        <v>294</v>
      </c>
      <c r="CK182" t="s">
        <v>921</v>
      </c>
      <c r="CL182" t="s">
        <v>345</v>
      </c>
      <c r="CM182" t="s">
        <v>298</v>
      </c>
      <c r="CO182" t="s">
        <v>748</v>
      </c>
      <c r="CP182" t="s">
        <v>749</v>
      </c>
      <c r="CQ182" t="s">
        <v>674</v>
      </c>
      <c r="CR182" t="s">
        <v>298</v>
      </c>
      <c r="CS182" t="s">
        <v>922</v>
      </c>
      <c r="CT182" t="s">
        <v>294</v>
      </c>
      <c r="CU182" t="s">
        <v>313</v>
      </c>
      <c r="CV182" t="s">
        <v>314</v>
      </c>
      <c r="CW182" t="s">
        <v>315</v>
      </c>
      <c r="CX182" t="s">
        <v>316</v>
      </c>
      <c r="CZ182" t="s">
        <v>289</v>
      </c>
      <c r="DA182" t="s">
        <v>289</v>
      </c>
      <c r="DB182" t="s">
        <v>289</v>
      </c>
      <c r="DC182" t="s">
        <v>289</v>
      </c>
      <c r="DI182" t="s">
        <v>289</v>
      </c>
      <c r="DL182" t="s">
        <v>289</v>
      </c>
      <c r="DM182" t="s">
        <v>317</v>
      </c>
      <c r="DS182" t="s">
        <v>289</v>
      </c>
      <c r="DT182" t="s">
        <v>289</v>
      </c>
      <c r="DU182" t="s">
        <v>318</v>
      </c>
      <c r="DV182" t="s">
        <v>289</v>
      </c>
      <c r="DX182" t="s">
        <v>368</v>
      </c>
      <c r="DY182" t="s">
        <v>472</v>
      </c>
      <c r="DZ182" t="s">
        <v>473</v>
      </c>
      <c r="EA182" t="s">
        <v>294</v>
      </c>
    </row>
    <row r="183" spans="1:231" x14ac:dyDescent="0.25">
      <c r="A183">
        <v>25148255</v>
      </c>
      <c r="B183">
        <v>6128944</v>
      </c>
      <c r="C183" t="str">
        <f>"140207602029"</f>
        <v>140207602029</v>
      </c>
      <c r="D183" t="s">
        <v>917</v>
      </c>
      <c r="E183" t="s">
        <v>837</v>
      </c>
      <c r="F183" t="s">
        <v>919</v>
      </c>
      <c r="G183" s="1">
        <v>41677</v>
      </c>
      <c r="I183" t="s">
        <v>286</v>
      </c>
      <c r="J183" t="s">
        <v>287</v>
      </c>
      <c r="K183" t="s">
        <v>288</v>
      </c>
      <c r="Q183" t="s">
        <v>289</v>
      </c>
      <c r="R183" t="str">
        <f>"КАЗАХСТАН, ТУРКЕСТАНСКАЯ ОБЛ., КЕЛЕССКИЙ РАЙОН, АУЫЛДЫҚ ОКРУГІ Актобинский, АУЫЛЫ Лесбек батыр, 33"</f>
        <v>КАЗАХСТАН, ТУРКЕСТАНСКАЯ ОБЛ., КЕЛЕССКИЙ РАЙОН, АУЫЛДЫҚ ОКРУГІ Актобинский, АУЫЛЫ Лесбек батыр, 33</v>
      </c>
      <c r="S183" t="str">
        <f>"ҚАЗАҚСТАН, ТҮРКІСТАН ОБЛ., КЕЛЕС АУДАНЫ, АУЫЛДЫҚ ОКРУГІ Актобинский, АУЫЛЫ Лесбек батыр, 33"</f>
        <v>ҚАЗАҚСТАН, ТҮРКІСТАН ОБЛ., КЕЛЕС АУДАНЫ, АУЫЛДЫҚ ОКРУГІ Актобинский, АУЫЛЫ Лесбек батыр, 33</v>
      </c>
      <c r="T183" t="str">
        <f>"АУЫЛДЫҚ ОКРУГІ Актобинский, АУЫЛЫ Лесбек батыр, 33"</f>
        <v>АУЫЛДЫҚ ОКРУГІ Актобинский, АУЫЛЫ Лесбек батыр, 33</v>
      </c>
      <c r="U183" t="str">
        <f>"АУЫЛДЫҚ ОКРУГІ Актобинский, АУЫЛЫ Лесбек батыр, 33"</f>
        <v>АУЫЛДЫҚ ОКРУГІ Актобинский, АУЫЛЫ Лесбек батыр, 33</v>
      </c>
      <c r="AC183" t="str">
        <f>"2023-08-18T00:00:00"</f>
        <v>2023-08-18T00:00:00</v>
      </c>
      <c r="AD183" t="str">
        <f>"4"</f>
        <v>4</v>
      </c>
      <c r="AE183" t="str">
        <f>"2024-09-01T12:04:36"</f>
        <v>2024-09-01T12:04:36</v>
      </c>
      <c r="AF183" t="str">
        <f>"2025-05-25T12:04:36"</f>
        <v>2025-05-25T12:04:36</v>
      </c>
      <c r="AG183" t="s">
        <v>747</v>
      </c>
      <c r="AI183" t="s">
        <v>291</v>
      </c>
      <c r="AK183" t="s">
        <v>634</v>
      </c>
      <c r="AP183" t="s">
        <v>342</v>
      </c>
      <c r="AT183" t="s">
        <v>294</v>
      </c>
      <c r="AU183" t="s">
        <v>295</v>
      </c>
      <c r="AW183" t="s">
        <v>296</v>
      </c>
      <c r="AX183">
        <v>2</v>
      </c>
      <c r="AY183" t="s">
        <v>297</v>
      </c>
      <c r="AZ183" t="s">
        <v>298</v>
      </c>
      <c r="BA183" t="s">
        <v>299</v>
      </c>
      <c r="BF183" t="s">
        <v>294</v>
      </c>
      <c r="BG183" t="s">
        <v>300</v>
      </c>
      <c r="BI183" t="s">
        <v>298</v>
      </c>
      <c r="BR183" t="s">
        <v>289</v>
      </c>
      <c r="BS183" t="s">
        <v>301</v>
      </c>
      <c r="BT183" t="s">
        <v>302</v>
      </c>
      <c r="BU183" t="s">
        <v>303</v>
      </c>
      <c r="BV183" t="s">
        <v>365</v>
      </c>
      <c r="BX183" t="s">
        <v>324</v>
      </c>
      <c r="BY183" t="s">
        <v>298</v>
      </c>
      <c r="BZ183" t="s">
        <v>306</v>
      </c>
      <c r="CA183" t="s">
        <v>387</v>
      </c>
      <c r="CC183" t="s">
        <v>308</v>
      </c>
      <c r="CD183" t="s">
        <v>309</v>
      </c>
      <c r="CE183" t="s">
        <v>294</v>
      </c>
      <c r="CK183" t="s">
        <v>467</v>
      </c>
      <c r="CL183" t="s">
        <v>328</v>
      </c>
      <c r="CM183" t="s">
        <v>664</v>
      </c>
      <c r="CN183" t="s">
        <v>367</v>
      </c>
      <c r="CO183" t="s">
        <v>312</v>
      </c>
      <c r="CT183" t="s">
        <v>294</v>
      </c>
      <c r="CU183" t="s">
        <v>313</v>
      </c>
      <c r="CV183" t="s">
        <v>314</v>
      </c>
      <c r="CW183" t="s">
        <v>315</v>
      </c>
      <c r="CX183" t="s">
        <v>316</v>
      </c>
      <c r="CZ183" t="s">
        <v>289</v>
      </c>
      <c r="DA183" t="s">
        <v>289</v>
      </c>
      <c r="DB183" t="s">
        <v>289</v>
      </c>
      <c r="DC183" t="s">
        <v>289</v>
      </c>
      <c r="DI183" t="s">
        <v>289</v>
      </c>
      <c r="DL183" t="s">
        <v>289</v>
      </c>
      <c r="DM183" t="s">
        <v>317</v>
      </c>
      <c r="DS183" t="s">
        <v>289</v>
      </c>
      <c r="DT183" t="s">
        <v>289</v>
      </c>
      <c r="DU183" t="s">
        <v>318</v>
      </c>
      <c r="DV183" t="s">
        <v>289</v>
      </c>
      <c r="DX183" t="s">
        <v>368</v>
      </c>
      <c r="DY183" t="s">
        <v>472</v>
      </c>
      <c r="DZ183" t="s">
        <v>473</v>
      </c>
      <c r="EA183" t="s">
        <v>294</v>
      </c>
    </row>
    <row r="184" spans="1:231" x14ac:dyDescent="0.25">
      <c r="A184">
        <v>25148267</v>
      </c>
      <c r="B184">
        <v>6124990</v>
      </c>
      <c r="C184" t="str">
        <f>"100304651691"</f>
        <v>100304651691</v>
      </c>
      <c r="D184" t="s">
        <v>917</v>
      </c>
      <c r="E184" t="s">
        <v>923</v>
      </c>
      <c r="F184" t="s">
        <v>919</v>
      </c>
      <c r="G184" s="1">
        <v>40241</v>
      </c>
      <c r="I184" t="s">
        <v>286</v>
      </c>
      <c r="J184" t="s">
        <v>287</v>
      </c>
      <c r="K184" t="s">
        <v>288</v>
      </c>
      <c r="Q184" t="s">
        <v>289</v>
      </c>
      <c r="R184" t="str">
        <f>"КАЗАХСТАН, ТУРКЕСТАНСКАЯ ОБЛ., КЕЛЕССКИЙ РАЙОН, АУЫЛДЫҚ ОКРУГІ Актобинский, АУЫЛЫ Лесбек батыр, 33"</f>
        <v>КАЗАХСТАН, ТУРКЕСТАНСКАЯ ОБЛ., КЕЛЕССКИЙ РАЙОН, АУЫЛДЫҚ ОКРУГІ Актобинский, АУЫЛЫ Лесбек батыр, 33</v>
      </c>
      <c r="S184" t="str">
        <f>"ҚАЗАҚСТАН, ТҮРКІСТАН ОБЛ., КЕЛЕС АУДАНЫ, АУЫЛДЫҚ ОКРУГІ Актобинский, АУЫЛЫ Лесбек батыр, 33"</f>
        <v>ҚАЗАҚСТАН, ТҮРКІСТАН ОБЛ., КЕЛЕС АУДАНЫ, АУЫЛДЫҚ ОКРУГІ Актобинский, АУЫЛЫ Лесбек батыр, 33</v>
      </c>
      <c r="T184" t="str">
        <f>"АУЫЛДЫҚ ОКРУГІ Актобинский, АУЫЛЫ Лесбек батыр, 33"</f>
        <v>АУЫЛДЫҚ ОКРУГІ Актобинский, АУЫЛЫ Лесбек батыр, 33</v>
      </c>
      <c r="U184" t="str">
        <f>"АУЫЛДЫҚ ОКРУГІ Актобинский, АУЫЛЫ Лесбек батыр, 33"</f>
        <v>АУЫЛДЫҚ ОКРУГІ Актобинский, АУЫЛЫ Лесбек батыр, 33</v>
      </c>
      <c r="AC184" t="str">
        <f>"2023-08-18T00:00:00"</f>
        <v>2023-08-18T00:00:00</v>
      </c>
      <c r="AD184" t="str">
        <f>"41"</f>
        <v>41</v>
      </c>
      <c r="AE184" t="str">
        <f>"2024-09-01T18:26:32"</f>
        <v>2024-09-01T18:26:32</v>
      </c>
      <c r="AF184" t="str">
        <f>"2025-05-25T18:26:32"</f>
        <v>2025-05-25T18:26:32</v>
      </c>
      <c r="AG184" t="s">
        <v>747</v>
      </c>
      <c r="AH184" t="str">
        <f>"saipi10_@mail.ru"</f>
        <v>saipi10_@mail.ru</v>
      </c>
      <c r="AI184" t="s">
        <v>558</v>
      </c>
      <c r="AK184" t="s">
        <v>402</v>
      </c>
      <c r="AP184" t="s">
        <v>293</v>
      </c>
      <c r="AT184" t="s">
        <v>294</v>
      </c>
      <c r="AU184" t="s">
        <v>295</v>
      </c>
      <c r="AW184" t="s">
        <v>296</v>
      </c>
      <c r="AX184">
        <v>1</v>
      </c>
      <c r="AY184" t="s">
        <v>297</v>
      </c>
      <c r="AZ184" t="s">
        <v>298</v>
      </c>
      <c r="BA184" t="s">
        <v>299</v>
      </c>
      <c r="BF184" t="s">
        <v>294</v>
      </c>
      <c r="BG184" t="s">
        <v>300</v>
      </c>
      <c r="BI184" t="s">
        <v>298</v>
      </c>
      <c r="BR184" t="s">
        <v>289</v>
      </c>
      <c r="BS184" t="s">
        <v>301</v>
      </c>
      <c r="BT184" t="s">
        <v>302</v>
      </c>
      <c r="BU184" t="s">
        <v>303</v>
      </c>
      <c r="BV184" t="s">
        <v>365</v>
      </c>
      <c r="BX184" t="s">
        <v>305</v>
      </c>
      <c r="BY184" t="s">
        <v>298</v>
      </c>
      <c r="BZ184" t="s">
        <v>924</v>
      </c>
      <c r="CA184" t="s">
        <v>454</v>
      </c>
      <c r="CC184" t="s">
        <v>308</v>
      </c>
      <c r="CD184" t="s">
        <v>309</v>
      </c>
      <c r="CE184" t="s">
        <v>294</v>
      </c>
      <c r="CK184" t="s">
        <v>471</v>
      </c>
      <c r="CL184" t="s">
        <v>328</v>
      </c>
      <c r="CM184" t="s">
        <v>298</v>
      </c>
      <c r="CO184" t="s">
        <v>312</v>
      </c>
      <c r="CT184" t="s">
        <v>294</v>
      </c>
      <c r="CU184" t="s">
        <v>405</v>
      </c>
      <c r="CW184" t="s">
        <v>406</v>
      </c>
      <c r="CX184" t="s">
        <v>316</v>
      </c>
      <c r="CZ184" t="s">
        <v>289</v>
      </c>
      <c r="DA184" t="s">
        <v>289</v>
      </c>
      <c r="DB184" t="s">
        <v>289</v>
      </c>
      <c r="DC184" t="s">
        <v>289</v>
      </c>
      <c r="DI184" t="s">
        <v>289</v>
      </c>
      <c r="DL184" t="s">
        <v>289</v>
      </c>
      <c r="DM184" t="s">
        <v>317</v>
      </c>
      <c r="DS184" t="s">
        <v>289</v>
      </c>
      <c r="DT184" t="s">
        <v>289</v>
      </c>
      <c r="DU184" t="s">
        <v>318</v>
      </c>
      <c r="DV184" t="s">
        <v>289</v>
      </c>
      <c r="DX184" t="s">
        <v>368</v>
      </c>
      <c r="DY184" t="s">
        <v>472</v>
      </c>
      <c r="DZ184" t="s">
        <v>473</v>
      </c>
      <c r="EA184" t="s">
        <v>294</v>
      </c>
    </row>
    <row r="185" spans="1:231" x14ac:dyDescent="0.25">
      <c r="A185">
        <v>25210495</v>
      </c>
      <c r="B185">
        <v>11915830</v>
      </c>
      <c r="C185" t="str">
        <f>"160805501158"</f>
        <v>160805501158</v>
      </c>
      <c r="D185" t="s">
        <v>925</v>
      </c>
      <c r="E185" t="s">
        <v>692</v>
      </c>
      <c r="F185" t="s">
        <v>926</v>
      </c>
      <c r="G185" s="1">
        <v>42587</v>
      </c>
      <c r="I185" t="s">
        <v>353</v>
      </c>
      <c r="J185" t="s">
        <v>287</v>
      </c>
      <c r="K185" t="s">
        <v>288</v>
      </c>
      <c r="Q185" t="s">
        <v>289</v>
      </c>
      <c r="R185" t="str">
        <f>"КАЗАХСТАН, В-КАЗАХСТАНСКАЯ, УСТЬ-КАМЕНОГОРСК, 288"</f>
        <v>КАЗАХСТАН, В-КАЗАХСТАНСКАЯ, УСТЬ-КАМЕНОГОРСК, 288</v>
      </c>
      <c r="S185" t="str">
        <f>"ҚАЗАҚСТАН, ШЫҒ-ҚАЗАҚСТАН, ӨСКЕМЕН, 288"</f>
        <v>ҚАЗАҚСТАН, ШЫҒ-ҚАЗАҚСТАН, ӨСКЕМЕН, 288</v>
      </c>
      <c r="T185" t="str">
        <f>"288"</f>
        <v>288</v>
      </c>
      <c r="U185" t="str">
        <f>"288"</f>
        <v>288</v>
      </c>
      <c r="AC185" t="str">
        <f>"2023-08-08T00:00:00"</f>
        <v>2023-08-08T00:00:00</v>
      </c>
      <c r="AD185" t="str">
        <f>"32"</f>
        <v>32</v>
      </c>
      <c r="AE185" t="str">
        <f>"2024-09-01T11:14:22"</f>
        <v>2024-09-01T11:14:22</v>
      </c>
      <c r="AF185" t="str">
        <f>"2025-05-25T11:14:22"</f>
        <v>2025-05-25T11:14:22</v>
      </c>
      <c r="AG185" t="s">
        <v>622</v>
      </c>
      <c r="AI185" t="s">
        <v>476</v>
      </c>
      <c r="AK185" t="s">
        <v>786</v>
      </c>
      <c r="AP185" t="s">
        <v>293</v>
      </c>
      <c r="AT185" t="s">
        <v>294</v>
      </c>
      <c r="AU185" t="s">
        <v>295</v>
      </c>
      <c r="AW185" t="s">
        <v>296</v>
      </c>
      <c r="AX185">
        <v>2</v>
      </c>
      <c r="AY185" t="s">
        <v>297</v>
      </c>
      <c r="AZ185" t="s">
        <v>298</v>
      </c>
      <c r="BA185" t="s">
        <v>299</v>
      </c>
      <c r="BF185" t="s">
        <v>294</v>
      </c>
      <c r="BG185" t="s">
        <v>300</v>
      </c>
      <c r="BI185" t="s">
        <v>298</v>
      </c>
      <c r="BR185" t="s">
        <v>289</v>
      </c>
      <c r="BS185" t="s">
        <v>301</v>
      </c>
      <c r="BT185" t="s">
        <v>302</v>
      </c>
      <c r="BU185" t="s">
        <v>303</v>
      </c>
      <c r="BV185" t="s">
        <v>365</v>
      </c>
      <c r="BX185" t="s">
        <v>324</v>
      </c>
      <c r="BY185" t="s">
        <v>298</v>
      </c>
      <c r="BZ185" t="s">
        <v>306</v>
      </c>
      <c r="CA185" t="s">
        <v>325</v>
      </c>
      <c r="CC185" t="s">
        <v>308</v>
      </c>
      <c r="CD185" t="s">
        <v>309</v>
      </c>
      <c r="CE185" t="s">
        <v>289</v>
      </c>
      <c r="CJ185" t="s">
        <v>927</v>
      </c>
      <c r="CK185" t="s">
        <v>335</v>
      </c>
      <c r="CM185" t="s">
        <v>507</v>
      </c>
      <c r="CN185" t="s">
        <v>328</v>
      </c>
      <c r="CO185" t="s">
        <v>312</v>
      </c>
      <c r="CT185" t="s">
        <v>294</v>
      </c>
      <c r="CU185" t="s">
        <v>313</v>
      </c>
      <c r="CV185" t="s">
        <v>314</v>
      </c>
      <c r="CW185" t="s">
        <v>315</v>
      </c>
      <c r="CX185" t="s">
        <v>316</v>
      </c>
      <c r="CZ185" t="s">
        <v>289</v>
      </c>
      <c r="DA185" t="s">
        <v>289</v>
      </c>
      <c r="DB185" t="s">
        <v>289</v>
      </c>
      <c r="DC185" t="s">
        <v>289</v>
      </c>
      <c r="DI185" t="s">
        <v>289</v>
      </c>
      <c r="DL185" t="s">
        <v>289</v>
      </c>
      <c r="DM185" t="s">
        <v>317</v>
      </c>
      <c r="DS185" t="s">
        <v>289</v>
      </c>
      <c r="DT185" t="s">
        <v>289</v>
      </c>
      <c r="DU185" t="s">
        <v>318</v>
      </c>
      <c r="DV185" t="s">
        <v>289</v>
      </c>
      <c r="DX185" t="s">
        <v>368</v>
      </c>
      <c r="DY185" t="s">
        <v>472</v>
      </c>
      <c r="DZ185" t="s">
        <v>473</v>
      </c>
      <c r="EA185" t="s">
        <v>294</v>
      </c>
    </row>
    <row r="186" spans="1:231" x14ac:dyDescent="0.25">
      <c r="A186">
        <v>25210521</v>
      </c>
      <c r="B186">
        <v>6362063</v>
      </c>
      <c r="C186" t="str">
        <f>"100309650779"</f>
        <v>100309650779</v>
      </c>
      <c r="D186" t="s">
        <v>925</v>
      </c>
      <c r="E186" t="s">
        <v>603</v>
      </c>
      <c r="F186" t="s">
        <v>928</v>
      </c>
      <c r="G186" s="1">
        <v>40246</v>
      </c>
      <c r="I186" t="s">
        <v>286</v>
      </c>
      <c r="J186" t="s">
        <v>287</v>
      </c>
      <c r="K186" t="s">
        <v>288</v>
      </c>
      <c r="Q186" t="s">
        <v>289</v>
      </c>
      <c r="R186" t="str">
        <f>"КАЗАХСТАН, В-КАЗАХСТАНСКАЯ, УСТЬ-КАМЕНОГОРСК, 288"</f>
        <v>КАЗАХСТАН, В-КАЗАХСТАНСКАЯ, УСТЬ-КАМЕНОГОРСК, 288</v>
      </c>
      <c r="S186" t="str">
        <f>"ҚАЗАҚСТАН, ШЫҒ-ҚАЗАҚСТАН, ӨСКЕМЕН, 288"</f>
        <v>ҚАЗАҚСТАН, ШЫҒ-ҚАЗАҚСТАН, ӨСКЕМЕН, 288</v>
      </c>
      <c r="T186" t="str">
        <f>"288"</f>
        <v>288</v>
      </c>
      <c r="U186" t="str">
        <f>"288"</f>
        <v>288</v>
      </c>
      <c r="AC186" t="str">
        <f>"2023-08-08T00:00:00"</f>
        <v>2023-08-08T00:00:00</v>
      </c>
      <c r="AD186" t="str">
        <f>"32"</f>
        <v>32</v>
      </c>
      <c r="AE186" t="str">
        <f>"2024-09-01T18:27:44"</f>
        <v>2024-09-01T18:27:44</v>
      </c>
      <c r="AF186" t="str">
        <f>"2025-05-25T18:27:44"</f>
        <v>2025-05-25T18:27:44</v>
      </c>
      <c r="AG186" t="s">
        <v>622</v>
      </c>
      <c r="AH186" t="str">
        <f>"BBn2012_@mail.ru"</f>
        <v>BBn2012_@mail.ru</v>
      </c>
      <c r="AI186" t="s">
        <v>476</v>
      </c>
      <c r="AK186" t="s">
        <v>402</v>
      </c>
      <c r="AP186" t="s">
        <v>293</v>
      </c>
      <c r="AT186" t="s">
        <v>294</v>
      </c>
      <c r="AU186" t="s">
        <v>679</v>
      </c>
      <c r="AW186" t="s">
        <v>296</v>
      </c>
      <c r="AX186">
        <v>1</v>
      </c>
      <c r="AY186" t="s">
        <v>297</v>
      </c>
      <c r="AZ186" t="s">
        <v>298</v>
      </c>
      <c r="BA186" t="s">
        <v>299</v>
      </c>
      <c r="BF186" t="s">
        <v>294</v>
      </c>
      <c r="BG186" t="s">
        <v>300</v>
      </c>
      <c r="BI186" t="s">
        <v>298</v>
      </c>
      <c r="BR186" t="s">
        <v>289</v>
      </c>
      <c r="BS186" t="s">
        <v>301</v>
      </c>
      <c r="BT186" t="s">
        <v>302</v>
      </c>
      <c r="BU186" t="s">
        <v>303</v>
      </c>
      <c r="BV186" t="s">
        <v>365</v>
      </c>
      <c r="BX186" t="s">
        <v>305</v>
      </c>
      <c r="BY186" t="s">
        <v>298</v>
      </c>
      <c r="BZ186" t="s">
        <v>924</v>
      </c>
      <c r="CA186" t="s">
        <v>929</v>
      </c>
      <c r="CC186" t="s">
        <v>308</v>
      </c>
      <c r="CD186" t="s">
        <v>309</v>
      </c>
      <c r="CE186" t="s">
        <v>294</v>
      </c>
      <c r="CK186" t="s">
        <v>361</v>
      </c>
      <c r="CL186" t="s">
        <v>328</v>
      </c>
      <c r="CM186" t="s">
        <v>298</v>
      </c>
      <c r="CO186" t="s">
        <v>748</v>
      </c>
      <c r="CP186" t="s">
        <v>673</v>
      </c>
      <c r="CQ186" t="s">
        <v>674</v>
      </c>
      <c r="CR186" t="s">
        <v>675</v>
      </c>
      <c r="CS186" t="s">
        <v>930</v>
      </c>
      <c r="CT186" t="s">
        <v>294</v>
      </c>
      <c r="CU186" t="s">
        <v>405</v>
      </c>
      <c r="CW186" t="s">
        <v>406</v>
      </c>
      <c r="CX186" t="s">
        <v>316</v>
      </c>
      <c r="CZ186" t="s">
        <v>289</v>
      </c>
      <c r="DA186" t="s">
        <v>289</v>
      </c>
      <c r="DB186" t="s">
        <v>289</v>
      </c>
      <c r="DC186" t="s">
        <v>289</v>
      </c>
      <c r="DI186" t="s">
        <v>289</v>
      </c>
      <c r="DL186" t="s">
        <v>289</v>
      </c>
      <c r="DM186" t="s">
        <v>317</v>
      </c>
      <c r="DS186" t="s">
        <v>289</v>
      </c>
      <c r="DT186" t="s">
        <v>289</v>
      </c>
      <c r="DU186" t="s">
        <v>318</v>
      </c>
      <c r="DV186" t="s">
        <v>289</v>
      </c>
      <c r="DX186" t="s">
        <v>368</v>
      </c>
      <c r="DY186" t="s">
        <v>472</v>
      </c>
      <c r="DZ186" t="s">
        <v>473</v>
      </c>
      <c r="EA186" t="s">
        <v>294</v>
      </c>
    </row>
    <row r="187" spans="1:231" x14ac:dyDescent="0.25">
      <c r="A187">
        <v>25210537</v>
      </c>
      <c r="B187">
        <v>8897095</v>
      </c>
      <c r="C187" t="str">
        <f>"140421604316"</f>
        <v>140421604316</v>
      </c>
      <c r="D187" t="s">
        <v>925</v>
      </c>
      <c r="E187" t="s">
        <v>340</v>
      </c>
      <c r="F187" t="s">
        <v>928</v>
      </c>
      <c r="G187" s="1">
        <v>41750</v>
      </c>
      <c r="I187" t="s">
        <v>286</v>
      </c>
      <c r="J187" t="s">
        <v>287</v>
      </c>
      <c r="K187" t="s">
        <v>288</v>
      </c>
      <c r="Q187" t="s">
        <v>289</v>
      </c>
      <c r="R187" t="str">
        <f>"КАЗАХСТАН, В-КАЗАХСТАНСКАЯ, УСТЬ-КАМЕНОГОРСК, 288"</f>
        <v>КАЗАХСТАН, В-КАЗАХСТАНСКАЯ, УСТЬ-КАМЕНОГОРСК, 288</v>
      </c>
      <c r="S187" t="str">
        <f>"ҚАЗАҚСТАН, ШЫҒ-ҚАЗАҚСТАН, ӨСКЕМЕН, 288"</f>
        <v>ҚАЗАҚСТАН, ШЫҒ-ҚАЗАҚСТАН, ӨСКЕМЕН, 288</v>
      </c>
      <c r="T187" t="str">
        <f>"288"</f>
        <v>288</v>
      </c>
      <c r="U187" t="str">
        <f>"288"</f>
        <v>288</v>
      </c>
      <c r="AC187" t="str">
        <f>"2023-08-08T00:00:00"</f>
        <v>2023-08-08T00:00:00</v>
      </c>
      <c r="AD187" t="str">
        <f>"32"</f>
        <v>32</v>
      </c>
      <c r="AE187" t="str">
        <f>"2024-09-01T12:05:28"</f>
        <v>2024-09-01T12:05:28</v>
      </c>
      <c r="AF187" t="str">
        <f>"2025-05-25T12:05:28"</f>
        <v>2025-05-25T12:05:28</v>
      </c>
      <c r="AG187" t="s">
        <v>622</v>
      </c>
      <c r="AI187" t="s">
        <v>476</v>
      </c>
      <c r="AK187" t="s">
        <v>634</v>
      </c>
      <c r="AP187" t="s">
        <v>342</v>
      </c>
      <c r="AT187" t="s">
        <v>294</v>
      </c>
      <c r="AU187" t="s">
        <v>679</v>
      </c>
      <c r="AW187" t="s">
        <v>296</v>
      </c>
      <c r="AX187">
        <v>2</v>
      </c>
      <c r="AY187" t="s">
        <v>297</v>
      </c>
      <c r="AZ187" t="s">
        <v>298</v>
      </c>
      <c r="BA187" t="s">
        <v>299</v>
      </c>
      <c r="BF187" t="s">
        <v>294</v>
      </c>
      <c r="BG187" t="s">
        <v>300</v>
      </c>
      <c r="BI187" t="s">
        <v>298</v>
      </c>
      <c r="BR187" t="s">
        <v>289</v>
      </c>
      <c r="BS187" t="s">
        <v>301</v>
      </c>
      <c r="BT187" t="s">
        <v>302</v>
      </c>
      <c r="BU187" t="s">
        <v>303</v>
      </c>
      <c r="BV187" t="s">
        <v>365</v>
      </c>
      <c r="BX187" t="s">
        <v>324</v>
      </c>
      <c r="BY187" t="s">
        <v>298</v>
      </c>
      <c r="BZ187" t="s">
        <v>306</v>
      </c>
      <c r="CA187" t="s">
        <v>325</v>
      </c>
      <c r="CC187" t="s">
        <v>308</v>
      </c>
      <c r="CD187" t="s">
        <v>309</v>
      </c>
      <c r="CE187" t="s">
        <v>294</v>
      </c>
      <c r="CK187" t="s">
        <v>361</v>
      </c>
      <c r="CL187" t="s">
        <v>328</v>
      </c>
      <c r="CM187" t="s">
        <v>631</v>
      </c>
      <c r="CN187" t="s">
        <v>487</v>
      </c>
      <c r="CO187" t="s">
        <v>312</v>
      </c>
      <c r="CT187" t="s">
        <v>294</v>
      </c>
      <c r="CU187" t="s">
        <v>313</v>
      </c>
      <c r="CV187" t="s">
        <v>314</v>
      </c>
      <c r="CW187" t="s">
        <v>315</v>
      </c>
      <c r="CX187" t="s">
        <v>316</v>
      </c>
      <c r="CZ187" t="s">
        <v>289</v>
      </c>
      <c r="DA187" t="s">
        <v>289</v>
      </c>
      <c r="DB187" t="s">
        <v>289</v>
      </c>
      <c r="DC187" t="s">
        <v>289</v>
      </c>
      <c r="DI187" t="s">
        <v>289</v>
      </c>
      <c r="DL187" t="s">
        <v>289</v>
      </c>
      <c r="DM187" t="s">
        <v>317</v>
      </c>
      <c r="DS187" t="s">
        <v>289</v>
      </c>
      <c r="DT187" t="s">
        <v>289</v>
      </c>
      <c r="DU187" t="s">
        <v>318</v>
      </c>
      <c r="DV187" t="s">
        <v>289</v>
      </c>
      <c r="DX187" t="s">
        <v>368</v>
      </c>
      <c r="DY187" t="s">
        <v>472</v>
      </c>
      <c r="DZ187" t="s">
        <v>473</v>
      </c>
      <c r="EA187" t="s">
        <v>294</v>
      </c>
    </row>
    <row r="188" spans="1:231" x14ac:dyDescent="0.25">
      <c r="A188">
        <v>25255857</v>
      </c>
      <c r="B188">
        <v>78652</v>
      </c>
      <c r="C188" t="str">
        <f>"111215601309"</f>
        <v>111215601309</v>
      </c>
      <c r="D188" t="s">
        <v>931</v>
      </c>
      <c r="E188" t="s">
        <v>932</v>
      </c>
      <c r="F188" t="s">
        <v>933</v>
      </c>
      <c r="G188" s="1">
        <v>40892</v>
      </c>
      <c r="I188" t="s">
        <v>286</v>
      </c>
      <c r="J188" t="s">
        <v>287</v>
      </c>
      <c r="K188" t="s">
        <v>288</v>
      </c>
      <c r="Q188" t="s">
        <v>289</v>
      </c>
      <c r="R188" t="str">
        <f>"КАЗАХСТАН, АКМОЛИНСКАЯ, ЗЕРЕНДИНСКИЙ РАЙОН, Зерендинский, Коктерек, 10, 1"</f>
        <v>КАЗАХСТАН, АКМОЛИНСКАЯ, ЗЕРЕНДИНСКИЙ РАЙОН, Зерендинский, Коктерек, 10, 1</v>
      </c>
      <c r="S188" t="str">
        <f>"ҚАЗАҚСТАН, АҚМОЛА, ЗЕРЕНДІ АУДАНЫ, Зерендинский, Коктерек, 10, 1"</f>
        <v>ҚАЗАҚСТАН, АҚМОЛА, ЗЕРЕНДІ АУДАНЫ, Зерендинский, Коктерек, 10, 1</v>
      </c>
      <c r="T188" t="str">
        <f>"Зерендинский, Коктерек, 10, 1"</f>
        <v>Зерендинский, Коктерек, 10, 1</v>
      </c>
      <c r="U188" t="str">
        <f>"Зерендинский, Коктерек, 10, 1"</f>
        <v>Зерендинский, Коктерек, 10, 1</v>
      </c>
      <c r="AC188" t="str">
        <f>"2023-08-08T00:00:00"</f>
        <v>2023-08-08T00:00:00</v>
      </c>
      <c r="AD188" t="str">
        <f>"34"</f>
        <v>34</v>
      </c>
      <c r="AE188" t="str">
        <f>"2024-09-01T22:48:44"</f>
        <v>2024-09-01T22:48:44</v>
      </c>
      <c r="AF188" t="str">
        <f>"2025-05-25T22:48:44"</f>
        <v>2025-05-25T22:48:44</v>
      </c>
      <c r="AG188" t="s">
        <v>290</v>
      </c>
      <c r="AI188" t="s">
        <v>291</v>
      </c>
      <c r="AK188" t="s">
        <v>292</v>
      </c>
      <c r="AP188" t="s">
        <v>293</v>
      </c>
      <c r="AT188" t="s">
        <v>294</v>
      </c>
      <c r="AU188" t="s">
        <v>295</v>
      </c>
      <c r="AW188" t="s">
        <v>296</v>
      </c>
      <c r="AX188">
        <v>2</v>
      </c>
      <c r="AY188" t="s">
        <v>297</v>
      </c>
      <c r="AZ188" t="s">
        <v>298</v>
      </c>
      <c r="BA188" t="s">
        <v>323</v>
      </c>
      <c r="BF188" t="s">
        <v>294</v>
      </c>
      <c r="BG188" t="s">
        <v>300</v>
      </c>
      <c r="BI188" t="s">
        <v>298</v>
      </c>
      <c r="BR188" t="s">
        <v>289</v>
      </c>
      <c r="BS188" t="s">
        <v>433</v>
      </c>
      <c r="BT188" t="s">
        <v>434</v>
      </c>
      <c r="BU188" t="s">
        <v>303</v>
      </c>
      <c r="BV188" t="s">
        <v>304</v>
      </c>
      <c r="BX188" t="s">
        <v>324</v>
      </c>
      <c r="BY188" t="s">
        <v>298</v>
      </c>
      <c r="BZ188" t="s">
        <v>920</v>
      </c>
      <c r="CA188" t="s">
        <v>511</v>
      </c>
      <c r="CC188" t="s">
        <v>308</v>
      </c>
      <c r="CD188" t="s">
        <v>309</v>
      </c>
      <c r="CE188" t="s">
        <v>294</v>
      </c>
      <c r="CK188" t="s">
        <v>382</v>
      </c>
      <c r="CL188" t="s">
        <v>328</v>
      </c>
      <c r="CM188" t="s">
        <v>698</v>
      </c>
      <c r="CN188" t="s">
        <v>328</v>
      </c>
      <c r="CO188" t="s">
        <v>312</v>
      </c>
      <c r="CT188" t="s">
        <v>294</v>
      </c>
      <c r="CU188" t="s">
        <v>313</v>
      </c>
      <c r="CV188" t="s">
        <v>314</v>
      </c>
      <c r="CW188" t="s">
        <v>315</v>
      </c>
      <c r="CX188" t="s">
        <v>316</v>
      </c>
      <c r="CZ188" t="s">
        <v>289</v>
      </c>
      <c r="DA188" t="s">
        <v>289</v>
      </c>
      <c r="DB188" t="s">
        <v>289</v>
      </c>
      <c r="DC188" t="s">
        <v>289</v>
      </c>
      <c r="DI188" t="s">
        <v>289</v>
      </c>
      <c r="DL188" t="s">
        <v>289</v>
      </c>
      <c r="DM188" t="s">
        <v>317</v>
      </c>
      <c r="DS188" t="s">
        <v>289</v>
      </c>
      <c r="DT188" t="s">
        <v>289</v>
      </c>
      <c r="DU188" t="s">
        <v>318</v>
      </c>
      <c r="DV188" t="s">
        <v>289</v>
      </c>
      <c r="DX188" t="s">
        <v>319</v>
      </c>
      <c r="EA188" t="s">
        <v>294</v>
      </c>
    </row>
    <row r="189" spans="1:231" x14ac:dyDescent="0.25">
      <c r="A189">
        <v>25403508</v>
      </c>
      <c r="B189">
        <v>472176</v>
      </c>
      <c r="C189" t="str">
        <f>"130531600359"</f>
        <v>130531600359</v>
      </c>
      <c r="D189" t="s">
        <v>934</v>
      </c>
      <c r="E189" t="s">
        <v>478</v>
      </c>
      <c r="F189" t="s">
        <v>935</v>
      </c>
      <c r="G189" s="1">
        <v>41425</v>
      </c>
      <c r="I189" t="s">
        <v>286</v>
      </c>
      <c r="J189" t="s">
        <v>287</v>
      </c>
      <c r="K189" t="s">
        <v>288</v>
      </c>
      <c r="Q189" t="s">
        <v>289</v>
      </c>
      <c r="R189" t="str">
        <f>"КАЗАХСТАН, АКМОЛИНСКАЯ, ЗЕРЕНДИНСКИЙ РАЙОН, имени Канай-Би, Канай би, 8, 1"</f>
        <v>КАЗАХСТАН, АКМОЛИНСКАЯ, ЗЕРЕНДИНСКИЙ РАЙОН, имени Канай-Би, Канай би, 8, 1</v>
      </c>
      <c r="S189" t="str">
        <f>"ҚАЗАҚСТАН, АҚМОЛА, ЗЕРЕНДІ АУДАНЫ, имени Канай-Би, Канай би, 8, 1"</f>
        <v>ҚАЗАҚСТАН, АҚМОЛА, ЗЕРЕНДІ АУДАНЫ, имени Канай-Би, Канай би, 8, 1</v>
      </c>
      <c r="T189" t="str">
        <f>"имени Канай-Би, Канай би, 8, 1"</f>
        <v>имени Канай-Би, Канай би, 8, 1</v>
      </c>
      <c r="U189" t="str">
        <f>"имени Канай-Би, Канай би, 8, 1"</f>
        <v>имени Канай-Би, Канай би, 8, 1</v>
      </c>
      <c r="AC189" t="str">
        <f>"2023-08-23T00:00:00"</f>
        <v>2023-08-23T00:00:00</v>
      </c>
      <c r="AD189" t="str">
        <f>"42"</f>
        <v>42</v>
      </c>
      <c r="AE189" t="str">
        <f>"2024-09-01T22:37:49"</f>
        <v>2024-09-01T22:37:49</v>
      </c>
      <c r="AF189" t="str">
        <f>"2025-05-25T22:37:49"</f>
        <v>2025-05-25T22:37:49</v>
      </c>
      <c r="AG189" t="s">
        <v>290</v>
      </c>
      <c r="AI189" t="s">
        <v>373</v>
      </c>
      <c r="AK189" t="s">
        <v>465</v>
      </c>
      <c r="AP189" t="s">
        <v>342</v>
      </c>
      <c r="AT189" t="s">
        <v>294</v>
      </c>
      <c r="AU189" t="s">
        <v>295</v>
      </c>
      <c r="AW189" t="s">
        <v>296</v>
      </c>
      <c r="AX189">
        <v>2</v>
      </c>
      <c r="AY189" t="s">
        <v>297</v>
      </c>
      <c r="AZ189" t="s">
        <v>298</v>
      </c>
      <c r="BA189" t="s">
        <v>299</v>
      </c>
      <c r="BF189" t="s">
        <v>294</v>
      </c>
      <c r="BG189" t="s">
        <v>300</v>
      </c>
      <c r="BI189" t="s">
        <v>298</v>
      </c>
      <c r="BR189" t="s">
        <v>289</v>
      </c>
      <c r="BS189" t="s">
        <v>433</v>
      </c>
      <c r="BT189" t="s">
        <v>434</v>
      </c>
      <c r="BU189" t="s">
        <v>303</v>
      </c>
      <c r="BV189" t="s">
        <v>304</v>
      </c>
      <c r="BX189" t="s">
        <v>324</v>
      </c>
      <c r="BY189" t="s">
        <v>298</v>
      </c>
      <c r="BZ189" t="s">
        <v>306</v>
      </c>
      <c r="CA189" t="s">
        <v>387</v>
      </c>
      <c r="CC189" t="s">
        <v>308</v>
      </c>
      <c r="CD189" t="s">
        <v>309</v>
      </c>
      <c r="CE189" t="s">
        <v>294</v>
      </c>
      <c r="CK189" t="s">
        <v>497</v>
      </c>
      <c r="CL189" t="s">
        <v>328</v>
      </c>
      <c r="CM189" t="s">
        <v>631</v>
      </c>
      <c r="CN189" t="s">
        <v>487</v>
      </c>
      <c r="CO189" t="s">
        <v>312</v>
      </c>
      <c r="CT189" t="s">
        <v>294</v>
      </c>
      <c r="CU189" t="s">
        <v>313</v>
      </c>
      <c r="CV189" t="s">
        <v>314</v>
      </c>
      <c r="CW189" t="s">
        <v>315</v>
      </c>
      <c r="CX189" t="s">
        <v>316</v>
      </c>
      <c r="CZ189" t="s">
        <v>289</v>
      </c>
      <c r="DA189" t="s">
        <v>289</v>
      </c>
      <c r="DB189" t="s">
        <v>289</v>
      </c>
      <c r="DC189" t="s">
        <v>289</v>
      </c>
      <c r="DI189" t="s">
        <v>289</v>
      </c>
      <c r="DL189" t="s">
        <v>289</v>
      </c>
      <c r="DM189" t="s">
        <v>317</v>
      </c>
      <c r="DS189" t="s">
        <v>289</v>
      </c>
      <c r="DT189" t="s">
        <v>289</v>
      </c>
      <c r="DU189" t="s">
        <v>318</v>
      </c>
      <c r="DV189" t="s">
        <v>289</v>
      </c>
      <c r="DX189" t="s">
        <v>319</v>
      </c>
      <c r="EA189" t="s">
        <v>289</v>
      </c>
    </row>
    <row r="190" spans="1:231" x14ac:dyDescent="0.25">
      <c r="A190">
        <v>25476875</v>
      </c>
      <c r="B190">
        <v>143907</v>
      </c>
      <c r="C190" t="str">
        <f>"100331552610"</f>
        <v>100331552610</v>
      </c>
      <c r="D190" t="s">
        <v>590</v>
      </c>
      <c r="E190" t="s">
        <v>692</v>
      </c>
      <c r="F190" t="s">
        <v>592</v>
      </c>
      <c r="G190" s="1">
        <v>40268</v>
      </c>
      <c r="I190" t="s">
        <v>353</v>
      </c>
      <c r="J190" t="s">
        <v>287</v>
      </c>
      <c r="K190" t="s">
        <v>288</v>
      </c>
      <c r="Q190" t="s">
        <v>289</v>
      </c>
      <c r="R190" t="str">
        <f>"КАЗАХСТАН, АКМОЛИНСКАЯ, ЗЕРЕНДИНСКИЙ РАЙОН, Зерендинский, Зеренда, 25"</f>
        <v>КАЗАХСТАН, АКМОЛИНСКАЯ, ЗЕРЕНДИНСКИЙ РАЙОН, Зерендинский, Зеренда, 25</v>
      </c>
      <c r="S190" t="str">
        <f>"ҚАЗАҚСТАН, АҚМОЛА, ЗЕРЕНДІ АУДАНЫ, Зерендинский, Зеренда, 25"</f>
        <v>ҚАЗАҚСТАН, АҚМОЛА, ЗЕРЕНДІ АУДАНЫ, Зерендинский, Зеренда, 25</v>
      </c>
      <c r="T190" t="str">
        <f>"Зерендинский, Зеренда, 25"</f>
        <v>Зерендинский, Зеренда, 25</v>
      </c>
      <c r="U190" t="str">
        <f>"Зерендинский, Зеренда, 25"</f>
        <v>Зерендинский, Зеренда, 25</v>
      </c>
      <c r="AC190" t="str">
        <f>"2023-08-29T00:00:00"</f>
        <v>2023-08-29T00:00:00</v>
      </c>
      <c r="AD190" t="str">
        <f>"49"</f>
        <v>49</v>
      </c>
      <c r="AE190" t="str">
        <f>"2024-09-01T18:28:46"</f>
        <v>2024-09-01T18:28:46</v>
      </c>
      <c r="AF190" t="str">
        <f>"2025-05-25T18:28:46"</f>
        <v>2025-05-25T18:28:46</v>
      </c>
      <c r="AG190" t="s">
        <v>622</v>
      </c>
      <c r="AH190" t="str">
        <f>"eras100_@mail.ru"</f>
        <v>eras100_@mail.ru</v>
      </c>
      <c r="AI190" t="s">
        <v>476</v>
      </c>
      <c r="AK190" t="s">
        <v>402</v>
      </c>
      <c r="AP190" t="s">
        <v>293</v>
      </c>
      <c r="AT190" t="s">
        <v>294</v>
      </c>
      <c r="AU190" t="s">
        <v>295</v>
      </c>
      <c r="AW190" t="s">
        <v>296</v>
      </c>
      <c r="AX190">
        <v>1</v>
      </c>
      <c r="AY190" t="s">
        <v>297</v>
      </c>
      <c r="AZ190" t="s">
        <v>298</v>
      </c>
      <c r="BA190" t="s">
        <v>299</v>
      </c>
      <c r="BF190" t="s">
        <v>294</v>
      </c>
      <c r="BG190" t="s">
        <v>300</v>
      </c>
      <c r="BI190" t="s">
        <v>298</v>
      </c>
      <c r="BR190" t="s">
        <v>289</v>
      </c>
      <c r="BS190" t="s">
        <v>301</v>
      </c>
      <c r="BT190" t="s">
        <v>302</v>
      </c>
      <c r="BU190" t="s">
        <v>303</v>
      </c>
      <c r="BV190" t="s">
        <v>304</v>
      </c>
      <c r="BX190" t="s">
        <v>324</v>
      </c>
      <c r="BY190" t="s">
        <v>298</v>
      </c>
      <c r="BZ190" t="s">
        <v>924</v>
      </c>
      <c r="CA190" t="s">
        <v>936</v>
      </c>
      <c r="CC190" t="s">
        <v>308</v>
      </c>
      <c r="CD190" t="s">
        <v>309</v>
      </c>
      <c r="CE190" t="s">
        <v>294</v>
      </c>
      <c r="CK190" t="s">
        <v>335</v>
      </c>
      <c r="CM190" t="s">
        <v>388</v>
      </c>
      <c r="CN190" t="s">
        <v>328</v>
      </c>
      <c r="CO190" t="s">
        <v>312</v>
      </c>
      <c r="CT190" t="s">
        <v>294</v>
      </c>
      <c r="CU190" t="s">
        <v>405</v>
      </c>
      <c r="CW190" t="s">
        <v>406</v>
      </c>
      <c r="CX190" t="s">
        <v>316</v>
      </c>
      <c r="CZ190" t="s">
        <v>289</v>
      </c>
      <c r="DA190" t="s">
        <v>289</v>
      </c>
      <c r="DB190" t="s">
        <v>289</v>
      </c>
      <c r="DC190" t="s">
        <v>289</v>
      </c>
      <c r="DI190" t="s">
        <v>289</v>
      </c>
      <c r="DL190" t="s">
        <v>289</v>
      </c>
      <c r="DM190" t="s">
        <v>317</v>
      </c>
      <c r="DS190" t="s">
        <v>289</v>
      </c>
      <c r="DT190" t="s">
        <v>289</v>
      </c>
      <c r="DU190" t="s">
        <v>318</v>
      </c>
      <c r="DV190" t="s">
        <v>289</v>
      </c>
      <c r="DX190" t="s">
        <v>319</v>
      </c>
      <c r="EA190" t="s">
        <v>289</v>
      </c>
    </row>
    <row r="191" spans="1:231" x14ac:dyDescent="0.25">
      <c r="A191">
        <v>25531151</v>
      </c>
      <c r="B191">
        <v>13338546</v>
      </c>
      <c r="C191" t="str">
        <f>"150920650027"</f>
        <v>150920650027</v>
      </c>
      <c r="D191" t="s">
        <v>822</v>
      </c>
      <c r="E191" t="s">
        <v>937</v>
      </c>
      <c r="G191" s="1">
        <v>42267</v>
      </c>
      <c r="I191" t="s">
        <v>286</v>
      </c>
      <c r="J191" t="s">
        <v>287</v>
      </c>
      <c r="K191" t="s">
        <v>288</v>
      </c>
      <c r="L191" t="s">
        <v>289</v>
      </c>
      <c r="Q191" t="s">
        <v>289</v>
      </c>
      <c r="R191" t="str">
        <f>"-"</f>
        <v>-</v>
      </c>
      <c r="S191" t="str">
        <f>"-"</f>
        <v>-</v>
      </c>
      <c r="T191" t="str">
        <f>"-"</f>
        <v>-</v>
      </c>
      <c r="U191" t="str">
        <f>"-"</f>
        <v>-</v>
      </c>
      <c r="AC191" t="str">
        <f>"2023-08-16T00:00:00"</f>
        <v>2023-08-16T00:00:00</v>
      </c>
      <c r="AD191" t="str">
        <f>"38"</f>
        <v>38</v>
      </c>
      <c r="AE191" t="str">
        <f>"2024-09-01T12:03:55"</f>
        <v>2024-09-01T12:03:55</v>
      </c>
      <c r="AF191" t="str">
        <f>"2025-05-25T12:03:55"</f>
        <v>2025-05-25T12:03:55</v>
      </c>
      <c r="AG191" t="s">
        <v>938</v>
      </c>
      <c r="AI191" t="s">
        <v>476</v>
      </c>
      <c r="AK191" t="s">
        <v>786</v>
      </c>
      <c r="AP191" t="s">
        <v>293</v>
      </c>
      <c r="AQ191" t="s">
        <v>289</v>
      </c>
      <c r="AT191" t="s">
        <v>294</v>
      </c>
      <c r="AU191" t="s">
        <v>295</v>
      </c>
      <c r="AW191" t="s">
        <v>296</v>
      </c>
      <c r="AX191">
        <v>2</v>
      </c>
      <c r="AY191" t="s">
        <v>297</v>
      </c>
      <c r="AZ191" t="s">
        <v>298</v>
      </c>
      <c r="BA191" t="s">
        <v>299</v>
      </c>
      <c r="BF191" t="s">
        <v>294</v>
      </c>
      <c r="BG191" t="s">
        <v>300</v>
      </c>
      <c r="BI191" t="s">
        <v>298</v>
      </c>
      <c r="BR191" t="s">
        <v>289</v>
      </c>
      <c r="BS191" t="s">
        <v>301</v>
      </c>
      <c r="BT191" t="s">
        <v>302</v>
      </c>
      <c r="BU191" t="s">
        <v>303</v>
      </c>
      <c r="BV191" t="s">
        <v>365</v>
      </c>
      <c r="BX191" t="s">
        <v>392</v>
      </c>
      <c r="BY191" t="s">
        <v>298</v>
      </c>
      <c r="BZ191" t="s">
        <v>306</v>
      </c>
      <c r="CA191" t="s">
        <v>393</v>
      </c>
      <c r="CC191" t="s">
        <v>308</v>
      </c>
      <c r="CD191" t="s">
        <v>309</v>
      </c>
      <c r="CE191" t="s">
        <v>289</v>
      </c>
      <c r="CJ191" t="s">
        <v>939</v>
      </c>
      <c r="CK191" t="s">
        <v>940</v>
      </c>
      <c r="CL191" t="s">
        <v>311</v>
      </c>
      <c r="CM191" t="s">
        <v>941</v>
      </c>
      <c r="CN191" t="s">
        <v>651</v>
      </c>
      <c r="CO191" t="s">
        <v>312</v>
      </c>
      <c r="CT191" t="s">
        <v>294</v>
      </c>
      <c r="CU191" t="s">
        <v>313</v>
      </c>
      <c r="CV191" t="s">
        <v>314</v>
      </c>
      <c r="CW191" t="s">
        <v>315</v>
      </c>
      <c r="CX191" t="s">
        <v>316</v>
      </c>
      <c r="CZ191" t="s">
        <v>289</v>
      </c>
      <c r="DA191" t="s">
        <v>289</v>
      </c>
      <c r="DB191" t="s">
        <v>289</v>
      </c>
      <c r="DC191" t="s">
        <v>289</v>
      </c>
      <c r="DI191" t="s">
        <v>289</v>
      </c>
      <c r="DL191" t="s">
        <v>289</v>
      </c>
      <c r="DM191" t="s">
        <v>317</v>
      </c>
      <c r="DS191" t="s">
        <v>289</v>
      </c>
      <c r="DT191" t="s">
        <v>289</v>
      </c>
      <c r="DU191" t="s">
        <v>318</v>
      </c>
      <c r="DV191" t="s">
        <v>289</v>
      </c>
      <c r="DX191" t="s">
        <v>319</v>
      </c>
      <c r="EA191" t="s">
        <v>289</v>
      </c>
    </row>
    <row r="192" spans="1:231" x14ac:dyDescent="0.25">
      <c r="A192">
        <v>25551740</v>
      </c>
      <c r="B192">
        <v>84266</v>
      </c>
      <c r="C192" t="str">
        <f>"070813550844"</f>
        <v>070813550844</v>
      </c>
      <c r="D192" t="s">
        <v>942</v>
      </c>
      <c r="E192" t="s">
        <v>764</v>
      </c>
      <c r="F192" t="s">
        <v>943</v>
      </c>
      <c r="G192" s="1">
        <v>39307</v>
      </c>
      <c r="I192" t="s">
        <v>353</v>
      </c>
      <c r="J192" t="s">
        <v>287</v>
      </c>
      <c r="K192" t="s">
        <v>288</v>
      </c>
      <c r="Q192" t="s">
        <v>289</v>
      </c>
      <c r="R192" t="str">
        <f>"КАЗАХСТАН, АКМОЛИНСКАЯ, ЗЕРЕНДИНСКИЙ РАЙОН, Троицкий, Карсак, 7"</f>
        <v>КАЗАХСТАН, АКМОЛИНСКАЯ, ЗЕРЕНДИНСКИЙ РАЙОН, Троицкий, Карсак, 7</v>
      </c>
      <c r="S192" t="str">
        <f>"ҚАЗАҚСТАН, АҚМОЛА, ЗЕРЕНДІ АУДАНЫ, Троицкий, Карсак, 7"</f>
        <v>ҚАЗАҚСТАН, АҚМОЛА, ЗЕРЕНДІ АУДАНЫ, Троицкий, Карсак, 7</v>
      </c>
      <c r="T192" t="str">
        <f>"Троицкий, Карсак, 7"</f>
        <v>Троицкий, Карсак, 7</v>
      </c>
      <c r="U192" t="str">
        <f>"Троицкий, Карсак, 7"</f>
        <v>Троицкий, Карсак, 7</v>
      </c>
      <c r="AC192" t="str">
        <f>"2023-08-25T00:00:00"</f>
        <v>2023-08-25T00:00:00</v>
      </c>
      <c r="AD192" t="str">
        <f>"45"</f>
        <v>45</v>
      </c>
      <c r="AE192" t="str">
        <f>"2024-09-01T18:56:41"</f>
        <v>2024-09-01T18:56:41</v>
      </c>
      <c r="AF192" t="str">
        <f>"2025-05-25T18:56:41"</f>
        <v>2025-05-25T18:56:41</v>
      </c>
      <c r="AG192" t="s">
        <v>290</v>
      </c>
      <c r="AH192" t="str">
        <f>"abilova2102@mail.ru"</f>
        <v>abilova2102@mail.ru</v>
      </c>
      <c r="AI192" t="s">
        <v>476</v>
      </c>
      <c r="AK192" t="s">
        <v>944</v>
      </c>
      <c r="AP192" t="s">
        <v>293</v>
      </c>
      <c r="AT192" t="s">
        <v>294</v>
      </c>
      <c r="AU192" t="s">
        <v>295</v>
      </c>
      <c r="AW192" t="s">
        <v>296</v>
      </c>
      <c r="AX192">
        <v>1</v>
      </c>
      <c r="AY192" t="s">
        <v>297</v>
      </c>
      <c r="AZ192" t="s">
        <v>298</v>
      </c>
      <c r="BA192" t="s">
        <v>349</v>
      </c>
      <c r="BF192" t="s">
        <v>294</v>
      </c>
      <c r="BG192" t="s">
        <v>300</v>
      </c>
      <c r="BI192" t="s">
        <v>298</v>
      </c>
      <c r="BR192" t="s">
        <v>289</v>
      </c>
      <c r="BS192" t="s">
        <v>433</v>
      </c>
      <c r="BT192" t="s">
        <v>434</v>
      </c>
      <c r="BU192" t="s">
        <v>303</v>
      </c>
      <c r="BV192" t="s">
        <v>304</v>
      </c>
      <c r="BX192" t="s">
        <v>324</v>
      </c>
      <c r="BY192" t="s">
        <v>298</v>
      </c>
      <c r="BZ192" t="s">
        <v>945</v>
      </c>
      <c r="CA192" t="s">
        <v>946</v>
      </c>
      <c r="CC192" t="s">
        <v>308</v>
      </c>
      <c r="CD192" t="s">
        <v>309</v>
      </c>
      <c r="CE192" t="s">
        <v>294</v>
      </c>
      <c r="CH192" t="s">
        <v>304</v>
      </c>
      <c r="CI192" t="s">
        <v>304</v>
      </c>
      <c r="CK192" t="s">
        <v>455</v>
      </c>
      <c r="CL192" t="s">
        <v>328</v>
      </c>
      <c r="CM192" t="s">
        <v>581</v>
      </c>
      <c r="CN192" t="s">
        <v>328</v>
      </c>
      <c r="CO192" t="s">
        <v>312</v>
      </c>
      <c r="CT192" t="s">
        <v>294</v>
      </c>
      <c r="CU192" t="s">
        <v>313</v>
      </c>
      <c r="CW192" t="s">
        <v>406</v>
      </c>
      <c r="CX192" t="s">
        <v>316</v>
      </c>
      <c r="CZ192" t="s">
        <v>289</v>
      </c>
      <c r="DA192" t="s">
        <v>289</v>
      </c>
      <c r="DB192" t="s">
        <v>289</v>
      </c>
      <c r="DC192" t="s">
        <v>289</v>
      </c>
      <c r="DI192" t="s">
        <v>289</v>
      </c>
      <c r="DL192" t="s">
        <v>289</v>
      </c>
      <c r="DM192" t="s">
        <v>317</v>
      </c>
      <c r="DS192" t="s">
        <v>289</v>
      </c>
      <c r="DT192" t="s">
        <v>289</v>
      </c>
      <c r="DU192" t="s">
        <v>318</v>
      </c>
      <c r="DV192" t="s">
        <v>289</v>
      </c>
      <c r="DX192" t="s">
        <v>319</v>
      </c>
      <c r="EA192" t="s">
        <v>289</v>
      </c>
    </row>
    <row r="193" spans="1:131" x14ac:dyDescent="0.25">
      <c r="A193">
        <v>25551742</v>
      </c>
      <c r="B193">
        <v>146501</v>
      </c>
      <c r="C193" t="str">
        <f>"070704551156"</f>
        <v>070704551156</v>
      </c>
      <c r="D193" t="s">
        <v>947</v>
      </c>
      <c r="E193" t="s">
        <v>948</v>
      </c>
      <c r="F193" t="s">
        <v>949</v>
      </c>
      <c r="G193" s="1">
        <v>39267</v>
      </c>
      <c r="I193" t="s">
        <v>353</v>
      </c>
      <c r="J193" t="s">
        <v>287</v>
      </c>
      <c r="K193" t="s">
        <v>288</v>
      </c>
      <c r="Q193" t="s">
        <v>289</v>
      </c>
      <c r="R193" t="str">
        <f>"КАЗАХСТАН, АКМОЛИНСКАЯ, ЗЕРЕНДИНСКИЙ РАЙОН, Зерендинский, Зеренда, 22, 2"</f>
        <v>КАЗАХСТАН, АКМОЛИНСКАЯ, ЗЕРЕНДИНСКИЙ РАЙОН, Зерендинский, Зеренда, 22, 2</v>
      </c>
      <c r="S193" t="str">
        <f>"ҚАЗАҚСТАН, АҚМОЛА, ЗЕРЕНДІ АУДАНЫ, Зерендинский, Зеренда, 22, 2"</f>
        <v>ҚАЗАҚСТАН, АҚМОЛА, ЗЕРЕНДІ АУДАНЫ, Зерендинский, Зеренда, 22, 2</v>
      </c>
      <c r="T193" t="str">
        <f>"Зерендинский, Зеренда, 22, 2"</f>
        <v>Зерендинский, Зеренда, 22, 2</v>
      </c>
      <c r="U193" t="str">
        <f>"Зерендинский, Зеренда, 22, 2"</f>
        <v>Зерендинский, Зеренда, 22, 2</v>
      </c>
      <c r="AC193" t="str">
        <f>"2023-08-25T00:00:00"</f>
        <v>2023-08-25T00:00:00</v>
      </c>
      <c r="AD193" t="str">
        <f>"45"</f>
        <v>45</v>
      </c>
      <c r="AE193" t="str">
        <f>"2024-09-01T18:57:14"</f>
        <v>2024-09-01T18:57:14</v>
      </c>
      <c r="AF193" t="str">
        <f>"2025-05-25T18:57:14"</f>
        <v>2025-05-25T18:57:14</v>
      </c>
      <c r="AG193" t="s">
        <v>290</v>
      </c>
      <c r="AH193" t="str">
        <f>"nurgan2021@mail.ru"</f>
        <v>nurgan2021@mail.ru</v>
      </c>
      <c r="AI193" t="s">
        <v>476</v>
      </c>
      <c r="AK193" t="s">
        <v>944</v>
      </c>
      <c r="AP193" t="s">
        <v>293</v>
      </c>
      <c r="AT193" t="s">
        <v>294</v>
      </c>
      <c r="AU193" t="s">
        <v>295</v>
      </c>
      <c r="AW193" t="s">
        <v>296</v>
      </c>
      <c r="AX193">
        <v>1</v>
      </c>
      <c r="AY193" t="s">
        <v>297</v>
      </c>
      <c r="AZ193" t="s">
        <v>298</v>
      </c>
      <c r="BA193" t="s">
        <v>349</v>
      </c>
      <c r="BF193" t="s">
        <v>294</v>
      </c>
      <c r="BG193" t="s">
        <v>300</v>
      </c>
      <c r="BI193" t="s">
        <v>298</v>
      </c>
      <c r="BR193" t="s">
        <v>289</v>
      </c>
      <c r="BS193" t="s">
        <v>301</v>
      </c>
      <c r="BT193" t="s">
        <v>302</v>
      </c>
      <c r="BU193" t="s">
        <v>303</v>
      </c>
      <c r="BV193" t="s">
        <v>304</v>
      </c>
      <c r="BX193" t="s">
        <v>324</v>
      </c>
      <c r="BY193" t="s">
        <v>298</v>
      </c>
      <c r="BZ193" t="s">
        <v>945</v>
      </c>
      <c r="CA193" t="s">
        <v>946</v>
      </c>
      <c r="CC193" t="s">
        <v>308</v>
      </c>
      <c r="CD193" t="s">
        <v>309</v>
      </c>
      <c r="CE193" t="s">
        <v>294</v>
      </c>
      <c r="CH193" t="s">
        <v>304</v>
      </c>
      <c r="CI193" t="s">
        <v>304</v>
      </c>
      <c r="CK193" t="s">
        <v>471</v>
      </c>
      <c r="CL193" t="s">
        <v>328</v>
      </c>
      <c r="CM193" t="s">
        <v>298</v>
      </c>
      <c r="CO193" t="s">
        <v>312</v>
      </c>
      <c r="CT193" t="s">
        <v>294</v>
      </c>
      <c r="CU193" t="s">
        <v>313</v>
      </c>
      <c r="CW193" t="s">
        <v>406</v>
      </c>
      <c r="CX193" t="s">
        <v>316</v>
      </c>
      <c r="CZ193" t="s">
        <v>289</v>
      </c>
      <c r="DA193" t="s">
        <v>289</v>
      </c>
      <c r="DB193" t="s">
        <v>289</v>
      </c>
      <c r="DC193" t="s">
        <v>289</v>
      </c>
      <c r="DI193" t="s">
        <v>289</v>
      </c>
      <c r="DL193" t="s">
        <v>289</v>
      </c>
      <c r="DM193" t="s">
        <v>317</v>
      </c>
      <c r="DN193" t="s">
        <v>304</v>
      </c>
      <c r="DS193" t="s">
        <v>289</v>
      </c>
      <c r="DT193" t="s">
        <v>289</v>
      </c>
      <c r="DU193" t="s">
        <v>318</v>
      </c>
      <c r="DV193" t="s">
        <v>289</v>
      </c>
      <c r="DX193" t="s">
        <v>319</v>
      </c>
      <c r="EA193" t="s">
        <v>289</v>
      </c>
    </row>
    <row r="194" spans="1:131" x14ac:dyDescent="0.25">
      <c r="A194">
        <v>25551744</v>
      </c>
      <c r="B194">
        <v>146534</v>
      </c>
      <c r="C194" t="str">
        <f>"070423652024"</f>
        <v>070423652024</v>
      </c>
      <c r="D194" t="s">
        <v>950</v>
      </c>
      <c r="E194" t="s">
        <v>951</v>
      </c>
      <c r="F194" t="s">
        <v>952</v>
      </c>
      <c r="G194" s="1">
        <v>39195</v>
      </c>
      <c r="I194" t="s">
        <v>286</v>
      </c>
      <c r="J194" t="s">
        <v>287</v>
      </c>
      <c r="K194" t="s">
        <v>953</v>
      </c>
      <c r="Q194" t="s">
        <v>289</v>
      </c>
      <c r="R194" t="str">
        <f>"КАЗАХСТАН, АКМОЛИНСКАЯ, ЗЕРЕНДИНСКИЙ РАЙОН, Зерендинский, Зеренда, 19"</f>
        <v>КАЗАХСТАН, АКМОЛИНСКАЯ, ЗЕРЕНДИНСКИЙ РАЙОН, Зерендинский, Зеренда, 19</v>
      </c>
      <c r="S194" t="str">
        <f>"ҚАЗАҚСТАН, АҚМОЛА, ЗЕРЕНДІ АУДАНЫ, Зерендинский, Зеренда, 19"</f>
        <v>ҚАЗАҚСТАН, АҚМОЛА, ЗЕРЕНДІ АУДАНЫ, Зерендинский, Зеренда, 19</v>
      </c>
      <c r="T194" t="str">
        <f>"Зерендинский, Зеренда, 19"</f>
        <v>Зерендинский, Зеренда, 19</v>
      </c>
      <c r="U194" t="str">
        <f>"Зерендинский, Зеренда, 19"</f>
        <v>Зерендинский, Зеренда, 19</v>
      </c>
      <c r="AC194" t="str">
        <f>"2023-08-25T00:00:00"</f>
        <v>2023-08-25T00:00:00</v>
      </c>
      <c r="AD194" t="str">
        <f>"45"</f>
        <v>45</v>
      </c>
      <c r="AE194" t="str">
        <f>"2024-09-01T19:04:26"</f>
        <v>2024-09-01T19:04:26</v>
      </c>
      <c r="AF194" t="str">
        <f>"2025-05-25T19:04:26"</f>
        <v>2025-05-25T19:04:26</v>
      </c>
      <c r="AG194" t="s">
        <v>290</v>
      </c>
      <c r="AH194" t="str">
        <f>"abilova2102@mail.ru"</f>
        <v>abilova2102@mail.ru</v>
      </c>
      <c r="AI194" t="s">
        <v>476</v>
      </c>
      <c r="AK194" t="s">
        <v>944</v>
      </c>
      <c r="AP194" t="s">
        <v>342</v>
      </c>
      <c r="AT194" t="s">
        <v>294</v>
      </c>
      <c r="AU194" t="s">
        <v>295</v>
      </c>
      <c r="AW194" t="s">
        <v>296</v>
      </c>
      <c r="AX194">
        <v>1</v>
      </c>
      <c r="AY194" t="s">
        <v>297</v>
      </c>
      <c r="AZ194" t="s">
        <v>298</v>
      </c>
      <c r="BA194" t="s">
        <v>349</v>
      </c>
      <c r="BF194" t="s">
        <v>294</v>
      </c>
      <c r="BG194" t="s">
        <v>300</v>
      </c>
      <c r="BI194" t="s">
        <v>298</v>
      </c>
      <c r="BR194" t="s">
        <v>289</v>
      </c>
      <c r="BS194" t="s">
        <v>301</v>
      </c>
      <c r="BT194" t="s">
        <v>302</v>
      </c>
      <c r="BU194" t="s">
        <v>303</v>
      </c>
      <c r="BV194" t="s">
        <v>304</v>
      </c>
      <c r="BX194" t="s">
        <v>324</v>
      </c>
      <c r="BY194" t="s">
        <v>298</v>
      </c>
      <c r="BZ194" t="s">
        <v>924</v>
      </c>
      <c r="CA194" t="s">
        <v>954</v>
      </c>
      <c r="CC194" t="s">
        <v>308</v>
      </c>
      <c r="CD194" t="s">
        <v>309</v>
      </c>
      <c r="CE194" t="s">
        <v>294</v>
      </c>
      <c r="CH194" t="s">
        <v>317</v>
      </c>
      <c r="CI194" t="s">
        <v>317</v>
      </c>
      <c r="CK194" t="s">
        <v>327</v>
      </c>
      <c r="CL194" t="s">
        <v>328</v>
      </c>
      <c r="CM194" t="s">
        <v>298</v>
      </c>
      <c r="CO194" t="s">
        <v>312</v>
      </c>
      <c r="CT194" t="s">
        <v>294</v>
      </c>
      <c r="CU194" t="s">
        <v>313</v>
      </c>
      <c r="CW194" t="s">
        <v>406</v>
      </c>
      <c r="CX194" t="s">
        <v>316</v>
      </c>
      <c r="CZ194" t="s">
        <v>289</v>
      </c>
      <c r="DA194" t="s">
        <v>289</v>
      </c>
      <c r="DB194" t="s">
        <v>289</v>
      </c>
      <c r="DC194" t="s">
        <v>289</v>
      </c>
      <c r="DI194" t="s">
        <v>289</v>
      </c>
      <c r="DL194" t="s">
        <v>289</v>
      </c>
      <c r="DM194" t="s">
        <v>317</v>
      </c>
      <c r="DS194" t="s">
        <v>289</v>
      </c>
      <c r="DT194" t="s">
        <v>289</v>
      </c>
      <c r="DU194" t="s">
        <v>318</v>
      </c>
      <c r="DV194" t="s">
        <v>289</v>
      </c>
      <c r="DX194" t="s">
        <v>319</v>
      </c>
      <c r="EA194" t="s">
        <v>289</v>
      </c>
    </row>
    <row r="195" spans="1:131" x14ac:dyDescent="0.25">
      <c r="A195">
        <v>25551746</v>
      </c>
      <c r="B195">
        <v>84278</v>
      </c>
      <c r="C195" t="str">
        <f>"071110553314"</f>
        <v>071110553314</v>
      </c>
      <c r="D195" t="s">
        <v>686</v>
      </c>
      <c r="E195" t="s">
        <v>955</v>
      </c>
      <c r="F195" t="s">
        <v>956</v>
      </c>
      <c r="G195" s="1">
        <v>39396</v>
      </c>
      <c r="I195" t="s">
        <v>353</v>
      </c>
      <c r="J195" t="s">
        <v>287</v>
      </c>
      <c r="K195" t="s">
        <v>288</v>
      </c>
      <c r="Q195" t="s">
        <v>289</v>
      </c>
      <c r="R195" t="str">
        <f>"КАЗАХСТАН, АКМОЛИНСКАЯ, ЗЕРЕНДИНСКИЙ РАЙОН, Троицкий, Карсак, 14"</f>
        <v>КАЗАХСТАН, АКМОЛИНСКАЯ, ЗЕРЕНДИНСКИЙ РАЙОН, Троицкий, Карсак, 14</v>
      </c>
      <c r="S195" t="str">
        <f>"ҚАЗАҚСТАН, АҚМОЛА, ЗЕРЕНДІ АУДАНЫ, Троицкий, Карсак, 14"</f>
        <v>ҚАЗАҚСТАН, АҚМОЛА, ЗЕРЕНДІ АУДАНЫ, Троицкий, Карсак, 14</v>
      </c>
      <c r="T195" t="str">
        <f>"Троицкий, Карсак, 14"</f>
        <v>Троицкий, Карсак, 14</v>
      </c>
      <c r="U195" t="str">
        <f>"Троицкий, Карсак, 14"</f>
        <v>Троицкий, Карсак, 14</v>
      </c>
      <c r="AC195" t="str">
        <f>"2023-08-25T00:00:00"</f>
        <v>2023-08-25T00:00:00</v>
      </c>
      <c r="AD195" t="str">
        <f>"45"</f>
        <v>45</v>
      </c>
      <c r="AE195" t="str">
        <f>"2024-09-01T18:57:44"</f>
        <v>2024-09-01T18:57:44</v>
      </c>
      <c r="AF195" t="str">
        <f>"2025-05-25T18:57:44"</f>
        <v>2025-05-25T18:57:44</v>
      </c>
      <c r="AG195" t="s">
        <v>290</v>
      </c>
      <c r="AH195" t="str">
        <f>"kokshe21@mail.ru"</f>
        <v>kokshe21@mail.ru</v>
      </c>
      <c r="AI195" t="s">
        <v>476</v>
      </c>
      <c r="AK195" t="s">
        <v>944</v>
      </c>
      <c r="AP195" t="s">
        <v>293</v>
      </c>
      <c r="AT195" t="s">
        <v>294</v>
      </c>
      <c r="AU195" t="s">
        <v>295</v>
      </c>
      <c r="AW195" t="s">
        <v>296</v>
      </c>
      <c r="AX195">
        <v>1</v>
      </c>
      <c r="AY195" t="s">
        <v>297</v>
      </c>
      <c r="AZ195" t="s">
        <v>298</v>
      </c>
      <c r="BA195" t="s">
        <v>349</v>
      </c>
      <c r="BF195" t="s">
        <v>294</v>
      </c>
      <c r="BG195" t="s">
        <v>300</v>
      </c>
      <c r="BI195" t="s">
        <v>298</v>
      </c>
      <c r="BR195" t="s">
        <v>289</v>
      </c>
      <c r="BS195" t="s">
        <v>433</v>
      </c>
      <c r="BT195" t="s">
        <v>434</v>
      </c>
      <c r="BU195" t="s">
        <v>303</v>
      </c>
      <c r="BV195" t="s">
        <v>304</v>
      </c>
      <c r="BX195" t="s">
        <v>324</v>
      </c>
      <c r="BY195" t="s">
        <v>298</v>
      </c>
      <c r="BZ195" t="s">
        <v>945</v>
      </c>
      <c r="CA195" t="s">
        <v>946</v>
      </c>
      <c r="CC195" t="s">
        <v>308</v>
      </c>
      <c r="CD195" t="s">
        <v>309</v>
      </c>
      <c r="CE195" t="s">
        <v>294</v>
      </c>
      <c r="CH195" t="s">
        <v>304</v>
      </c>
      <c r="CI195" t="s">
        <v>304</v>
      </c>
      <c r="CK195" t="s">
        <v>455</v>
      </c>
      <c r="CL195" t="s">
        <v>328</v>
      </c>
      <c r="CM195" t="s">
        <v>581</v>
      </c>
      <c r="CN195" t="s">
        <v>328</v>
      </c>
      <c r="CO195" t="s">
        <v>312</v>
      </c>
      <c r="CT195" t="s">
        <v>294</v>
      </c>
      <c r="CU195" t="s">
        <v>313</v>
      </c>
      <c r="CW195" t="s">
        <v>406</v>
      </c>
      <c r="CX195" t="s">
        <v>316</v>
      </c>
      <c r="CZ195" t="s">
        <v>289</v>
      </c>
      <c r="DA195" t="s">
        <v>289</v>
      </c>
      <c r="DB195" t="s">
        <v>289</v>
      </c>
      <c r="DC195" t="s">
        <v>289</v>
      </c>
      <c r="DI195" t="s">
        <v>289</v>
      </c>
      <c r="DL195" t="s">
        <v>289</v>
      </c>
      <c r="DM195" t="s">
        <v>317</v>
      </c>
      <c r="DS195" t="s">
        <v>289</v>
      </c>
      <c r="DT195" t="s">
        <v>289</v>
      </c>
      <c r="DU195" t="s">
        <v>318</v>
      </c>
      <c r="DV195" t="s">
        <v>289</v>
      </c>
      <c r="DX195" t="s">
        <v>319</v>
      </c>
      <c r="EA195" t="s">
        <v>289</v>
      </c>
    </row>
    <row r="196" spans="1:131" x14ac:dyDescent="0.25">
      <c r="A196">
        <v>25551749</v>
      </c>
      <c r="B196">
        <v>146847</v>
      </c>
      <c r="C196" t="str">
        <f>"070701551922"</f>
        <v>070701551922</v>
      </c>
      <c r="D196" t="s">
        <v>957</v>
      </c>
      <c r="E196" t="s">
        <v>958</v>
      </c>
      <c r="F196" t="s">
        <v>959</v>
      </c>
      <c r="G196" s="1">
        <v>39264</v>
      </c>
      <c r="I196" t="s">
        <v>353</v>
      </c>
      <c r="J196" t="s">
        <v>287</v>
      </c>
      <c r="K196" t="s">
        <v>288</v>
      </c>
      <c r="Q196" t="s">
        <v>289</v>
      </c>
      <c r="R196" t="str">
        <f>"КАЗАХСТАН, АКМОЛИНСКАЯ, КОКШЕТАУ, Станционный, 13, 4"</f>
        <v>КАЗАХСТАН, АКМОЛИНСКАЯ, КОКШЕТАУ, Станционный, 13, 4</v>
      </c>
      <c r="S196" t="str">
        <f>"ҚАЗАҚСТАН, АҚМОЛА, КӨКШЕТАУ, Станционный, 13, 4"</f>
        <v>ҚАЗАҚСТАН, АҚМОЛА, КӨКШЕТАУ, Станционный, 13, 4</v>
      </c>
      <c r="T196" t="str">
        <f>"Станционный, 13, 4"</f>
        <v>Станционный, 13, 4</v>
      </c>
      <c r="U196" t="str">
        <f>"Станционный, 13, 4"</f>
        <v>Станционный, 13, 4</v>
      </c>
      <c r="AC196" t="str">
        <f>"2023-08-25T00:00:00"</f>
        <v>2023-08-25T00:00:00</v>
      </c>
      <c r="AD196" t="str">
        <f>"45"</f>
        <v>45</v>
      </c>
      <c r="AE196" t="str">
        <f>"2024-09-01T18:58:19"</f>
        <v>2024-09-01T18:58:19</v>
      </c>
      <c r="AF196" t="str">
        <f>"2025-05-25T18:58:19"</f>
        <v>2025-05-25T18:58:19</v>
      </c>
      <c r="AG196" t="s">
        <v>290</v>
      </c>
      <c r="AH196" t="str">
        <f>"abilova2102@mail.ru"</f>
        <v>abilova2102@mail.ru</v>
      </c>
      <c r="AI196" t="s">
        <v>476</v>
      </c>
      <c r="AK196" t="s">
        <v>944</v>
      </c>
      <c r="AP196" t="s">
        <v>293</v>
      </c>
      <c r="AT196" t="s">
        <v>294</v>
      </c>
      <c r="AU196" t="s">
        <v>295</v>
      </c>
      <c r="AW196" t="s">
        <v>296</v>
      </c>
      <c r="AX196">
        <v>1</v>
      </c>
      <c r="AY196" t="s">
        <v>297</v>
      </c>
      <c r="AZ196" t="s">
        <v>298</v>
      </c>
      <c r="BA196" t="s">
        <v>349</v>
      </c>
      <c r="BE196" t="str">
        <f>"2020-08-26T16:10:39"</f>
        <v>2020-08-26T16:10:39</v>
      </c>
      <c r="BF196" t="s">
        <v>294</v>
      </c>
      <c r="BG196" t="s">
        <v>300</v>
      </c>
      <c r="BI196" t="s">
        <v>298</v>
      </c>
      <c r="BR196" t="s">
        <v>289</v>
      </c>
      <c r="BS196" t="s">
        <v>301</v>
      </c>
      <c r="BT196" t="s">
        <v>302</v>
      </c>
      <c r="BU196" t="s">
        <v>303</v>
      </c>
      <c r="BV196" t="s">
        <v>365</v>
      </c>
      <c r="BX196" t="s">
        <v>305</v>
      </c>
      <c r="BY196" t="s">
        <v>298</v>
      </c>
      <c r="BZ196" t="s">
        <v>945</v>
      </c>
      <c r="CA196" t="s">
        <v>960</v>
      </c>
      <c r="CC196" t="s">
        <v>308</v>
      </c>
      <c r="CD196" t="s">
        <v>309</v>
      </c>
      <c r="CE196" t="s">
        <v>294</v>
      </c>
      <c r="CH196" t="s">
        <v>304</v>
      </c>
      <c r="CI196" t="s">
        <v>304</v>
      </c>
      <c r="CK196" t="s">
        <v>327</v>
      </c>
      <c r="CL196" t="s">
        <v>328</v>
      </c>
      <c r="CM196" t="s">
        <v>298</v>
      </c>
      <c r="CO196" t="s">
        <v>312</v>
      </c>
      <c r="CT196" t="s">
        <v>294</v>
      </c>
      <c r="CU196" t="s">
        <v>313</v>
      </c>
      <c r="CW196" t="s">
        <v>406</v>
      </c>
      <c r="CX196" t="s">
        <v>316</v>
      </c>
      <c r="CZ196" t="s">
        <v>289</v>
      </c>
      <c r="DA196" t="s">
        <v>289</v>
      </c>
      <c r="DB196" t="s">
        <v>289</v>
      </c>
      <c r="DC196" t="s">
        <v>289</v>
      </c>
      <c r="DI196" t="s">
        <v>289</v>
      </c>
      <c r="DL196" t="s">
        <v>289</v>
      </c>
      <c r="DM196" t="s">
        <v>317</v>
      </c>
      <c r="DS196" t="s">
        <v>289</v>
      </c>
      <c r="DT196" t="s">
        <v>289</v>
      </c>
      <c r="DU196" t="s">
        <v>318</v>
      </c>
      <c r="DV196" t="s">
        <v>289</v>
      </c>
      <c r="DX196" t="s">
        <v>368</v>
      </c>
      <c r="DY196" t="s">
        <v>472</v>
      </c>
      <c r="DZ196" t="s">
        <v>473</v>
      </c>
      <c r="EA196" t="s">
        <v>294</v>
      </c>
    </row>
    <row r="197" spans="1:131" x14ac:dyDescent="0.25">
      <c r="A197">
        <v>25551751</v>
      </c>
      <c r="B197">
        <v>146878</v>
      </c>
      <c r="C197" t="str">
        <f>"071010650065"</f>
        <v>071010650065</v>
      </c>
      <c r="D197" t="s">
        <v>609</v>
      </c>
      <c r="E197" t="s">
        <v>961</v>
      </c>
      <c r="F197" t="s">
        <v>610</v>
      </c>
      <c r="G197" s="1">
        <v>39365</v>
      </c>
      <c r="I197" t="s">
        <v>286</v>
      </c>
      <c r="J197" t="s">
        <v>287</v>
      </c>
      <c r="K197" t="s">
        <v>288</v>
      </c>
      <c r="Q197" t="s">
        <v>289</v>
      </c>
      <c r="R197" t="str">
        <f>"КАЗАХСТАН, АКМОЛИНСКАЯ, ЗЕРЕНДИНСКИЙ РАЙОН, Байтерекский, Ульгули, 2, 1"</f>
        <v>КАЗАХСТАН, АКМОЛИНСКАЯ, ЗЕРЕНДИНСКИЙ РАЙОН, Байтерекский, Ульгули, 2, 1</v>
      </c>
      <c r="S197" t="str">
        <f>"ҚАЗАҚСТАН, АҚМОЛА, ЗЕРЕНДІ АУДАНЫ, Байтерекский, Ульгули, 2, 1"</f>
        <v>ҚАЗАҚСТАН, АҚМОЛА, ЗЕРЕНДІ АУДАНЫ, Байтерекский, Ульгули, 2, 1</v>
      </c>
      <c r="T197" t="str">
        <f>"Байтерекский, Ульгули, 2, 1"</f>
        <v>Байтерекский, Ульгули, 2, 1</v>
      </c>
      <c r="U197" t="str">
        <f>"Байтерекский, Ульгули, 2, 1"</f>
        <v>Байтерекский, Ульгули, 2, 1</v>
      </c>
      <c r="AC197" t="str">
        <f>"2023-08-25T00:00:00"</f>
        <v>2023-08-25T00:00:00</v>
      </c>
      <c r="AD197" t="str">
        <f>"45"</f>
        <v>45</v>
      </c>
      <c r="AE197" t="str">
        <f>"2024-09-01T18:58:48"</f>
        <v>2024-09-01T18:58:48</v>
      </c>
      <c r="AF197" t="str">
        <f>"2025-05-25T18:58:48"</f>
        <v>2025-05-25T18:58:48</v>
      </c>
      <c r="AG197" t="s">
        <v>290</v>
      </c>
      <c r="AH197" t="str">
        <f>"abilova2102@mail.ru"</f>
        <v>abilova2102@mail.ru</v>
      </c>
      <c r="AI197" t="s">
        <v>476</v>
      </c>
      <c r="AK197" t="s">
        <v>944</v>
      </c>
      <c r="AP197" t="s">
        <v>293</v>
      </c>
      <c r="AT197" t="s">
        <v>294</v>
      </c>
      <c r="AU197" t="s">
        <v>295</v>
      </c>
      <c r="AW197" t="s">
        <v>296</v>
      </c>
      <c r="AX197">
        <v>1</v>
      </c>
      <c r="AY197" t="s">
        <v>297</v>
      </c>
      <c r="AZ197" t="s">
        <v>298</v>
      </c>
      <c r="BA197" t="s">
        <v>349</v>
      </c>
      <c r="BE197" t="str">
        <f>"2020-11-03T20:40:50"</f>
        <v>2020-11-03T20:40:50</v>
      </c>
      <c r="BF197" t="s">
        <v>294</v>
      </c>
      <c r="BG197" t="s">
        <v>300</v>
      </c>
      <c r="BI197" t="s">
        <v>298</v>
      </c>
      <c r="BR197" t="s">
        <v>289</v>
      </c>
      <c r="BS197" t="s">
        <v>433</v>
      </c>
      <c r="BT197" t="s">
        <v>434</v>
      </c>
      <c r="BU197" t="s">
        <v>303</v>
      </c>
      <c r="BV197" t="s">
        <v>304</v>
      </c>
      <c r="BX197" t="s">
        <v>324</v>
      </c>
      <c r="BY197" t="s">
        <v>298</v>
      </c>
      <c r="BZ197" t="s">
        <v>945</v>
      </c>
      <c r="CA197" t="s">
        <v>946</v>
      </c>
      <c r="CC197" t="s">
        <v>308</v>
      </c>
      <c r="CD197" t="s">
        <v>309</v>
      </c>
      <c r="CE197" t="s">
        <v>294</v>
      </c>
      <c r="CH197" t="s">
        <v>304</v>
      </c>
      <c r="CI197" t="s">
        <v>304</v>
      </c>
      <c r="CK197" t="s">
        <v>327</v>
      </c>
      <c r="CL197" t="s">
        <v>328</v>
      </c>
      <c r="CM197" t="s">
        <v>962</v>
      </c>
      <c r="CN197" t="s">
        <v>345</v>
      </c>
      <c r="CO197" t="s">
        <v>312</v>
      </c>
      <c r="CT197" t="s">
        <v>294</v>
      </c>
      <c r="CU197" t="s">
        <v>313</v>
      </c>
      <c r="CW197" t="s">
        <v>406</v>
      </c>
      <c r="CX197" t="s">
        <v>316</v>
      </c>
      <c r="CZ197" t="s">
        <v>289</v>
      </c>
      <c r="DA197" t="s">
        <v>289</v>
      </c>
      <c r="DB197" t="s">
        <v>289</v>
      </c>
      <c r="DC197" t="s">
        <v>289</v>
      </c>
      <c r="DI197" t="s">
        <v>289</v>
      </c>
      <c r="DL197" t="s">
        <v>289</v>
      </c>
      <c r="DM197" t="s">
        <v>317</v>
      </c>
      <c r="DS197" t="s">
        <v>289</v>
      </c>
      <c r="DT197" t="s">
        <v>289</v>
      </c>
      <c r="DU197" t="s">
        <v>318</v>
      </c>
      <c r="DV197" t="s">
        <v>289</v>
      </c>
      <c r="DX197" t="s">
        <v>319</v>
      </c>
      <c r="EA197" t="s">
        <v>289</v>
      </c>
    </row>
    <row r="198" spans="1:131" x14ac:dyDescent="0.25">
      <c r="A198">
        <v>25551752</v>
      </c>
      <c r="B198">
        <v>146905</v>
      </c>
      <c r="C198" t="str">
        <f>"080501550522"</f>
        <v>080501550522</v>
      </c>
      <c r="D198" t="s">
        <v>827</v>
      </c>
      <c r="E198" t="s">
        <v>390</v>
      </c>
      <c r="F198" t="s">
        <v>963</v>
      </c>
      <c r="G198" s="1">
        <v>39569</v>
      </c>
      <c r="I198" t="s">
        <v>353</v>
      </c>
      <c r="J198" t="s">
        <v>287</v>
      </c>
      <c r="K198" t="s">
        <v>288</v>
      </c>
      <c r="Q198" t="s">
        <v>289</v>
      </c>
      <c r="R198" t="str">
        <f>"КАЗАХСТАН, АКМОЛИНСКАЯ, ЗЕРЕНДИНСКИЙ РАЙОН, Байтерекский, Ульгули, 7"</f>
        <v>КАЗАХСТАН, АКМОЛИНСКАЯ, ЗЕРЕНДИНСКИЙ РАЙОН, Байтерекский, Ульгули, 7</v>
      </c>
      <c r="S198" t="str">
        <f>"ҚАЗАҚСТАН, АҚМОЛА, ЗЕРЕНДІ АУДАНЫ, Байтерекский, Ульгули, 7"</f>
        <v>ҚАЗАҚСТАН, АҚМОЛА, ЗЕРЕНДІ АУДАНЫ, Байтерекский, Ульгули, 7</v>
      </c>
      <c r="T198" t="str">
        <f>"Байтерекский, Ульгули, 7"</f>
        <v>Байтерекский, Ульгули, 7</v>
      </c>
      <c r="U198" t="str">
        <f>"Байтерекский, Ульгули, 7"</f>
        <v>Байтерекский, Ульгули, 7</v>
      </c>
      <c r="AC198" t="str">
        <f>"2023-08-25T00:00:00"</f>
        <v>2023-08-25T00:00:00</v>
      </c>
      <c r="AD198" t="str">
        <f>"45"</f>
        <v>45</v>
      </c>
      <c r="AE198" t="str">
        <f>"2024-09-01T18:59:30"</f>
        <v>2024-09-01T18:59:30</v>
      </c>
      <c r="AF198" t="str">
        <f>"2025-05-25T18:59:30"</f>
        <v>2025-05-25T18:59:30</v>
      </c>
      <c r="AG198" t="s">
        <v>290</v>
      </c>
      <c r="AH198" t="str">
        <f>"baltabek21@mail.ru"</f>
        <v>baltabek21@mail.ru</v>
      </c>
      <c r="AI198" t="s">
        <v>476</v>
      </c>
      <c r="AK198" t="s">
        <v>944</v>
      </c>
      <c r="AP198" t="s">
        <v>293</v>
      </c>
      <c r="AT198" t="s">
        <v>294</v>
      </c>
      <c r="AU198" t="s">
        <v>295</v>
      </c>
      <c r="AW198" t="s">
        <v>296</v>
      </c>
      <c r="AX198">
        <v>1</v>
      </c>
      <c r="AY198" t="s">
        <v>297</v>
      </c>
      <c r="AZ198" t="s">
        <v>298</v>
      </c>
      <c r="BA198" t="s">
        <v>349</v>
      </c>
      <c r="BF198" t="s">
        <v>294</v>
      </c>
      <c r="BG198" t="s">
        <v>300</v>
      </c>
      <c r="BI198" t="s">
        <v>298</v>
      </c>
      <c r="BR198" t="s">
        <v>289</v>
      </c>
      <c r="BS198" t="s">
        <v>433</v>
      </c>
      <c r="BT198" t="s">
        <v>434</v>
      </c>
      <c r="BU198" t="s">
        <v>303</v>
      </c>
      <c r="BV198" t="s">
        <v>304</v>
      </c>
      <c r="BX198" t="s">
        <v>305</v>
      </c>
      <c r="BY198" t="s">
        <v>298</v>
      </c>
      <c r="BZ198" t="s">
        <v>945</v>
      </c>
      <c r="CA198" t="s">
        <v>946</v>
      </c>
      <c r="CC198" t="s">
        <v>308</v>
      </c>
      <c r="CD198" t="s">
        <v>309</v>
      </c>
      <c r="CE198" t="s">
        <v>294</v>
      </c>
      <c r="CH198" t="s">
        <v>304</v>
      </c>
      <c r="CI198" t="s">
        <v>304</v>
      </c>
      <c r="CK198" t="s">
        <v>455</v>
      </c>
      <c r="CL198" t="s">
        <v>328</v>
      </c>
      <c r="CM198" t="s">
        <v>581</v>
      </c>
      <c r="CN198" t="s">
        <v>328</v>
      </c>
      <c r="CO198" t="s">
        <v>312</v>
      </c>
      <c r="CT198" t="s">
        <v>294</v>
      </c>
      <c r="CU198" t="s">
        <v>313</v>
      </c>
      <c r="CW198" t="s">
        <v>406</v>
      </c>
      <c r="CX198" t="s">
        <v>316</v>
      </c>
      <c r="CZ198" t="s">
        <v>289</v>
      </c>
      <c r="DA198" t="s">
        <v>289</v>
      </c>
      <c r="DB198" t="s">
        <v>289</v>
      </c>
      <c r="DC198" t="s">
        <v>289</v>
      </c>
      <c r="DI198" t="s">
        <v>289</v>
      </c>
      <c r="DL198" t="s">
        <v>289</v>
      </c>
      <c r="DM198" t="s">
        <v>317</v>
      </c>
      <c r="DS198" t="s">
        <v>289</v>
      </c>
      <c r="DT198" t="s">
        <v>289</v>
      </c>
      <c r="DU198" t="s">
        <v>318</v>
      </c>
      <c r="DV198" t="s">
        <v>289</v>
      </c>
      <c r="DX198" t="s">
        <v>319</v>
      </c>
      <c r="EA198" t="s">
        <v>289</v>
      </c>
    </row>
    <row r="199" spans="1:131" x14ac:dyDescent="0.25">
      <c r="A199">
        <v>25551754</v>
      </c>
      <c r="B199">
        <v>147372</v>
      </c>
      <c r="C199" t="str">
        <f>"080215650148"</f>
        <v>080215650148</v>
      </c>
      <c r="D199" t="s">
        <v>836</v>
      </c>
      <c r="E199" t="s">
        <v>964</v>
      </c>
      <c r="F199" t="s">
        <v>838</v>
      </c>
      <c r="G199" s="1">
        <v>39493</v>
      </c>
      <c r="I199" t="s">
        <v>286</v>
      </c>
      <c r="J199" t="s">
        <v>287</v>
      </c>
      <c r="K199" t="s">
        <v>288</v>
      </c>
      <c r="Q199" t="s">
        <v>289</v>
      </c>
      <c r="R199" t="str">
        <f>"КАЗАХСТАН, АКМОЛИНСКАЯ, ЗЕРЕНДИНСКИЙ РАЙОН, Зерендинский, Зеренда, 29"</f>
        <v>КАЗАХСТАН, АКМОЛИНСКАЯ, ЗЕРЕНДИНСКИЙ РАЙОН, Зерендинский, Зеренда, 29</v>
      </c>
      <c r="S199" t="str">
        <f>"ҚАЗАҚСТАН, АҚМОЛА, ЗЕРЕНДІ АУДАНЫ, Зерендинский, Зеренда, 29"</f>
        <v>ҚАЗАҚСТАН, АҚМОЛА, ЗЕРЕНДІ АУДАНЫ, Зерендинский, Зеренда, 29</v>
      </c>
      <c r="T199" t="str">
        <f>"Зерендинский, Зеренда, 29"</f>
        <v>Зерендинский, Зеренда, 29</v>
      </c>
      <c r="U199" t="str">
        <f>"Зерендинский, Зеренда, 29"</f>
        <v>Зерендинский, Зеренда, 29</v>
      </c>
      <c r="AC199" t="str">
        <f>"2023-08-25T00:00:00"</f>
        <v>2023-08-25T00:00:00</v>
      </c>
      <c r="AD199" t="str">
        <f>"45"</f>
        <v>45</v>
      </c>
      <c r="AE199" t="str">
        <f>"2024-09-01T19:04:59"</f>
        <v>2024-09-01T19:04:59</v>
      </c>
      <c r="AF199" t="str">
        <f>"2025-05-25T19:04:59"</f>
        <v>2025-05-25T19:04:59</v>
      </c>
      <c r="AG199" t="s">
        <v>290</v>
      </c>
      <c r="AH199" t="str">
        <f>"abilova2102@mail.ru"</f>
        <v>abilova2102@mail.ru</v>
      </c>
      <c r="AI199" t="s">
        <v>476</v>
      </c>
      <c r="AK199" t="s">
        <v>944</v>
      </c>
      <c r="AP199" t="s">
        <v>342</v>
      </c>
      <c r="AT199" t="s">
        <v>294</v>
      </c>
      <c r="AU199" t="s">
        <v>295</v>
      </c>
      <c r="AW199" t="s">
        <v>296</v>
      </c>
      <c r="AX199">
        <v>1</v>
      </c>
      <c r="AY199" t="s">
        <v>297</v>
      </c>
      <c r="AZ199" t="s">
        <v>298</v>
      </c>
      <c r="BA199" t="s">
        <v>490</v>
      </c>
      <c r="BE199" t="str">
        <f>"2020-11-03T20:34:35"</f>
        <v>2020-11-03T20:34:35</v>
      </c>
      <c r="BF199" t="s">
        <v>294</v>
      </c>
      <c r="BG199" t="s">
        <v>300</v>
      </c>
      <c r="BI199" t="s">
        <v>298</v>
      </c>
      <c r="BR199" t="s">
        <v>289</v>
      </c>
      <c r="BS199" t="s">
        <v>301</v>
      </c>
      <c r="BT199" t="s">
        <v>302</v>
      </c>
      <c r="BU199" t="s">
        <v>303</v>
      </c>
      <c r="BV199" t="s">
        <v>304</v>
      </c>
      <c r="BX199" t="s">
        <v>324</v>
      </c>
      <c r="BY199" t="s">
        <v>298</v>
      </c>
      <c r="BZ199" t="s">
        <v>924</v>
      </c>
      <c r="CA199" t="s">
        <v>954</v>
      </c>
      <c r="CC199" t="s">
        <v>308</v>
      </c>
      <c r="CD199" t="s">
        <v>309</v>
      </c>
      <c r="CE199" t="s">
        <v>294</v>
      </c>
      <c r="CH199" t="s">
        <v>304</v>
      </c>
      <c r="CI199" t="s">
        <v>304</v>
      </c>
      <c r="CK199" t="s">
        <v>327</v>
      </c>
      <c r="CL199" t="s">
        <v>328</v>
      </c>
      <c r="CM199" t="s">
        <v>298</v>
      </c>
      <c r="CO199" t="s">
        <v>312</v>
      </c>
      <c r="CT199" t="s">
        <v>294</v>
      </c>
      <c r="CU199" t="s">
        <v>313</v>
      </c>
      <c r="CW199" t="s">
        <v>406</v>
      </c>
      <c r="CX199" t="s">
        <v>316</v>
      </c>
      <c r="CZ199" t="s">
        <v>289</v>
      </c>
      <c r="DA199" t="s">
        <v>289</v>
      </c>
      <c r="DB199" t="s">
        <v>289</v>
      </c>
      <c r="DC199" t="s">
        <v>289</v>
      </c>
      <c r="DI199" t="s">
        <v>289</v>
      </c>
      <c r="DL199" t="s">
        <v>289</v>
      </c>
      <c r="DM199" t="s">
        <v>317</v>
      </c>
      <c r="DS199" t="s">
        <v>289</v>
      </c>
      <c r="DT199" t="s">
        <v>289</v>
      </c>
      <c r="DU199" t="s">
        <v>318</v>
      </c>
      <c r="DV199" t="s">
        <v>289</v>
      </c>
      <c r="DX199" t="s">
        <v>319</v>
      </c>
      <c r="EA199" t="s">
        <v>289</v>
      </c>
    </row>
    <row r="200" spans="1:131" x14ac:dyDescent="0.25">
      <c r="A200">
        <v>25551755</v>
      </c>
      <c r="B200">
        <v>147389</v>
      </c>
      <c r="C200" t="str">
        <f>"071207552640"</f>
        <v>071207552640</v>
      </c>
      <c r="D200" t="s">
        <v>965</v>
      </c>
      <c r="E200" t="s">
        <v>955</v>
      </c>
      <c r="F200" t="s">
        <v>475</v>
      </c>
      <c r="G200" s="1">
        <v>39423</v>
      </c>
      <c r="I200" t="s">
        <v>353</v>
      </c>
      <c r="J200" t="s">
        <v>287</v>
      </c>
      <c r="K200" t="s">
        <v>288</v>
      </c>
      <c r="Q200" t="s">
        <v>289</v>
      </c>
      <c r="R200" t="str">
        <f>"КАЗАХСТАН, АКМОЛИНСКАЯ, ЗЕРЕНДИНСКИЙ РАЙОН, Зерендинский, Зеренда, 18, 7"</f>
        <v>КАЗАХСТАН, АКМОЛИНСКАЯ, ЗЕРЕНДИНСКИЙ РАЙОН, Зерендинский, Зеренда, 18, 7</v>
      </c>
      <c r="S200" t="str">
        <f>"ҚАЗАҚСТАН, АҚМОЛА, ЗЕРЕНДІ АУДАНЫ, Зерендинский, Зеренда, 18, 7"</f>
        <v>ҚАЗАҚСТАН, АҚМОЛА, ЗЕРЕНДІ АУДАНЫ, Зерендинский, Зеренда, 18, 7</v>
      </c>
      <c r="T200" t="str">
        <f>"Зерендинский, Зеренда, 18, 7"</f>
        <v>Зерендинский, Зеренда, 18, 7</v>
      </c>
      <c r="U200" t="str">
        <f>"Зерендинский, Зеренда, 18, 7"</f>
        <v>Зерендинский, Зеренда, 18, 7</v>
      </c>
      <c r="AC200" t="str">
        <f>"2023-08-25T00:00:00"</f>
        <v>2023-08-25T00:00:00</v>
      </c>
      <c r="AD200" t="str">
        <f>"45"</f>
        <v>45</v>
      </c>
      <c r="AE200" t="str">
        <f>"2024-09-01T19:00:00"</f>
        <v>2024-09-01T19:00:00</v>
      </c>
      <c r="AF200" t="str">
        <f>"2025-05-25T19:00:00"</f>
        <v>2025-05-25T19:00:00</v>
      </c>
      <c r="AG200" t="s">
        <v>290</v>
      </c>
      <c r="AH200" t="str">
        <f>"abilova2102@mail.ru"</f>
        <v>abilova2102@mail.ru</v>
      </c>
      <c r="AI200" t="s">
        <v>476</v>
      </c>
      <c r="AK200" t="s">
        <v>944</v>
      </c>
      <c r="AP200" t="s">
        <v>293</v>
      </c>
      <c r="AT200" t="s">
        <v>294</v>
      </c>
      <c r="AU200" t="s">
        <v>295</v>
      </c>
      <c r="AW200" t="s">
        <v>296</v>
      </c>
      <c r="AX200">
        <v>1</v>
      </c>
      <c r="AY200" t="s">
        <v>297</v>
      </c>
      <c r="AZ200" t="s">
        <v>298</v>
      </c>
      <c r="BA200" t="s">
        <v>349</v>
      </c>
      <c r="BE200" t="str">
        <f>"2020-11-03T20:30:43"</f>
        <v>2020-11-03T20:30:43</v>
      </c>
      <c r="BF200" t="s">
        <v>294</v>
      </c>
      <c r="BG200" t="s">
        <v>300</v>
      </c>
      <c r="BI200" t="s">
        <v>298</v>
      </c>
      <c r="BR200" t="s">
        <v>289</v>
      </c>
      <c r="BS200" t="s">
        <v>301</v>
      </c>
      <c r="BT200" t="s">
        <v>302</v>
      </c>
      <c r="BU200" t="s">
        <v>303</v>
      </c>
      <c r="BV200" t="s">
        <v>304</v>
      </c>
      <c r="BX200" t="s">
        <v>305</v>
      </c>
      <c r="BY200" t="s">
        <v>298</v>
      </c>
      <c r="BZ200" t="s">
        <v>945</v>
      </c>
      <c r="CA200" t="s">
        <v>966</v>
      </c>
      <c r="CC200" t="s">
        <v>308</v>
      </c>
      <c r="CD200" t="s">
        <v>309</v>
      </c>
      <c r="CE200" t="s">
        <v>294</v>
      </c>
      <c r="CH200" t="s">
        <v>304</v>
      </c>
      <c r="CI200" t="s">
        <v>304</v>
      </c>
      <c r="CK200" t="s">
        <v>327</v>
      </c>
      <c r="CL200" t="s">
        <v>328</v>
      </c>
      <c r="CM200" t="s">
        <v>298</v>
      </c>
      <c r="CO200" t="s">
        <v>312</v>
      </c>
      <c r="CT200" t="s">
        <v>294</v>
      </c>
      <c r="CU200" t="s">
        <v>313</v>
      </c>
      <c r="CW200" t="s">
        <v>406</v>
      </c>
      <c r="CX200" t="s">
        <v>316</v>
      </c>
      <c r="CZ200" t="s">
        <v>289</v>
      </c>
      <c r="DA200" t="s">
        <v>289</v>
      </c>
      <c r="DB200" t="s">
        <v>289</v>
      </c>
      <c r="DC200" t="s">
        <v>289</v>
      </c>
      <c r="DI200" t="s">
        <v>289</v>
      </c>
      <c r="DL200" t="s">
        <v>289</v>
      </c>
      <c r="DM200" t="s">
        <v>317</v>
      </c>
      <c r="DS200" t="s">
        <v>289</v>
      </c>
      <c r="DT200" t="s">
        <v>289</v>
      </c>
      <c r="DU200" t="s">
        <v>318</v>
      </c>
      <c r="DV200" t="s">
        <v>289</v>
      </c>
      <c r="DX200" t="s">
        <v>319</v>
      </c>
      <c r="EA200" t="s">
        <v>294</v>
      </c>
    </row>
    <row r="201" spans="1:131" x14ac:dyDescent="0.25">
      <c r="A201">
        <v>25551756</v>
      </c>
      <c r="B201">
        <v>147393</v>
      </c>
      <c r="C201" t="str">
        <f>"070603651847"</f>
        <v>070603651847</v>
      </c>
      <c r="D201" t="s">
        <v>430</v>
      </c>
      <c r="E201" t="s">
        <v>967</v>
      </c>
      <c r="F201" t="s">
        <v>579</v>
      </c>
      <c r="G201" s="1">
        <v>39236</v>
      </c>
      <c r="I201" t="s">
        <v>286</v>
      </c>
      <c r="J201" t="s">
        <v>287</v>
      </c>
      <c r="K201" t="s">
        <v>288</v>
      </c>
      <c r="Q201" t="s">
        <v>289</v>
      </c>
      <c r="R201" t="str">
        <f>"КАЗАХСТАН, АКМОЛИНСКАЯ, ЗЕРЕНДИНСКИЙ РАЙОН, Малика Габдуллина, Койсалган, 1"</f>
        <v>КАЗАХСТАН, АКМОЛИНСКАЯ, ЗЕРЕНДИНСКИЙ РАЙОН, Малика Габдуллина, Койсалган, 1</v>
      </c>
      <c r="S201" t="str">
        <f>"ҚАЗАҚСТАН, АҚМОЛА, ЗЕРЕНДІ АУДАНЫ, Малика Габдуллина, Койсалган, 1"</f>
        <v>ҚАЗАҚСТАН, АҚМОЛА, ЗЕРЕНДІ АУДАНЫ, Малика Габдуллина, Койсалган, 1</v>
      </c>
      <c r="T201" t="str">
        <f>"Малика Габдуллина, Койсалган, 1"</f>
        <v>Малика Габдуллина, Койсалган, 1</v>
      </c>
      <c r="U201" t="str">
        <f>"Малика Габдуллина, Койсалган, 1"</f>
        <v>Малика Габдуллина, Койсалган, 1</v>
      </c>
      <c r="AC201" t="str">
        <f>"2023-08-25T00:00:00"</f>
        <v>2023-08-25T00:00:00</v>
      </c>
      <c r="AD201" t="str">
        <f>"45"</f>
        <v>45</v>
      </c>
      <c r="AE201" t="str">
        <f>"2024-09-01T19:05:33"</f>
        <v>2024-09-01T19:05:33</v>
      </c>
      <c r="AF201" t="str">
        <f>"2025-05-25T19:05:33"</f>
        <v>2025-05-25T19:05:33</v>
      </c>
      <c r="AG201" t="s">
        <v>290</v>
      </c>
      <c r="AH201" t="str">
        <f>"abilova2102@mail.ru"</f>
        <v>abilova2102@mail.ru</v>
      </c>
      <c r="AI201" t="s">
        <v>476</v>
      </c>
      <c r="AK201" t="s">
        <v>944</v>
      </c>
      <c r="AP201" t="s">
        <v>342</v>
      </c>
      <c r="AT201" t="s">
        <v>294</v>
      </c>
      <c r="AU201" t="s">
        <v>295</v>
      </c>
      <c r="AW201" t="s">
        <v>296</v>
      </c>
      <c r="AX201">
        <v>1</v>
      </c>
      <c r="AY201" t="s">
        <v>297</v>
      </c>
      <c r="AZ201" t="s">
        <v>298</v>
      </c>
      <c r="BA201" t="s">
        <v>349</v>
      </c>
      <c r="BF201" t="s">
        <v>294</v>
      </c>
      <c r="BG201" t="s">
        <v>300</v>
      </c>
      <c r="BI201" t="s">
        <v>298</v>
      </c>
      <c r="BR201" t="s">
        <v>289</v>
      </c>
      <c r="BS201" t="s">
        <v>433</v>
      </c>
      <c r="BT201" t="s">
        <v>434</v>
      </c>
      <c r="BU201" t="s">
        <v>303</v>
      </c>
      <c r="BV201" t="s">
        <v>304</v>
      </c>
      <c r="BX201" t="s">
        <v>324</v>
      </c>
      <c r="BY201" t="s">
        <v>298</v>
      </c>
      <c r="BZ201" t="s">
        <v>924</v>
      </c>
      <c r="CA201" t="s">
        <v>968</v>
      </c>
      <c r="CC201" t="s">
        <v>308</v>
      </c>
      <c r="CD201" t="s">
        <v>309</v>
      </c>
      <c r="CE201" t="s">
        <v>294</v>
      </c>
      <c r="CH201" t="s">
        <v>304</v>
      </c>
      <c r="CI201" t="s">
        <v>304</v>
      </c>
      <c r="CK201" t="s">
        <v>375</v>
      </c>
      <c r="CL201" t="s">
        <v>328</v>
      </c>
      <c r="CM201" t="s">
        <v>611</v>
      </c>
      <c r="CN201" t="s">
        <v>311</v>
      </c>
      <c r="CO201" t="s">
        <v>312</v>
      </c>
      <c r="CT201" t="s">
        <v>294</v>
      </c>
      <c r="CU201" t="s">
        <v>313</v>
      </c>
      <c r="CW201" t="s">
        <v>406</v>
      </c>
      <c r="CX201" t="s">
        <v>316</v>
      </c>
      <c r="CZ201" t="s">
        <v>289</v>
      </c>
      <c r="DA201" t="s">
        <v>289</v>
      </c>
      <c r="DB201" t="s">
        <v>289</v>
      </c>
      <c r="DC201" t="s">
        <v>289</v>
      </c>
      <c r="DI201" t="s">
        <v>289</v>
      </c>
      <c r="DL201" t="s">
        <v>289</v>
      </c>
      <c r="DM201" t="s">
        <v>317</v>
      </c>
      <c r="DS201" t="s">
        <v>289</v>
      </c>
      <c r="DT201" t="s">
        <v>289</v>
      </c>
      <c r="DU201" t="s">
        <v>318</v>
      </c>
      <c r="DV201" t="s">
        <v>289</v>
      </c>
      <c r="DX201" t="s">
        <v>319</v>
      </c>
      <c r="EA201" t="s">
        <v>289</v>
      </c>
    </row>
    <row r="202" spans="1:131" x14ac:dyDescent="0.25">
      <c r="A202">
        <v>25551757</v>
      </c>
      <c r="B202">
        <v>148010</v>
      </c>
      <c r="C202" t="str">
        <f>"080116550480"</f>
        <v>080116550480</v>
      </c>
      <c r="D202" t="s">
        <v>969</v>
      </c>
      <c r="E202" t="s">
        <v>970</v>
      </c>
      <c r="F202" t="s">
        <v>971</v>
      </c>
      <c r="G202" s="1">
        <v>39463</v>
      </c>
      <c r="I202" t="s">
        <v>353</v>
      </c>
      <c r="J202" t="s">
        <v>287</v>
      </c>
      <c r="K202" t="s">
        <v>288</v>
      </c>
      <c r="Q202" t="s">
        <v>289</v>
      </c>
      <c r="R202" t="str">
        <f>"КАЗАХСТАН, АКМОЛИНСКАЯ, ЗЕРЕНДИНСКИЙ РАЙОН, Зерендинский, Зеренда, 14"</f>
        <v>КАЗАХСТАН, АКМОЛИНСКАЯ, ЗЕРЕНДИНСКИЙ РАЙОН, Зерендинский, Зеренда, 14</v>
      </c>
      <c r="S202" t="str">
        <f>"ҚАЗАҚСТАН, АҚМОЛА, ЗЕРЕНДІ АУДАНЫ, Зерендинский, Зеренда, 14"</f>
        <v>ҚАЗАҚСТАН, АҚМОЛА, ЗЕРЕНДІ АУДАНЫ, Зерендинский, Зеренда, 14</v>
      </c>
      <c r="T202" t="str">
        <f>"Зерендинский, Зеренда, 14"</f>
        <v>Зерендинский, Зеренда, 14</v>
      </c>
      <c r="U202" t="str">
        <f>"Зерендинский, Зеренда, 14"</f>
        <v>Зерендинский, Зеренда, 14</v>
      </c>
      <c r="AC202" t="str">
        <f>"2023-08-25T00:00:00"</f>
        <v>2023-08-25T00:00:00</v>
      </c>
      <c r="AD202" t="str">
        <f>"45"</f>
        <v>45</v>
      </c>
      <c r="AE202" t="str">
        <f>"2024-09-01T19:06:04"</f>
        <v>2024-09-01T19:06:04</v>
      </c>
      <c r="AF202" t="str">
        <f>"2025-05-25T19:06:04"</f>
        <v>2025-05-25T19:06:04</v>
      </c>
      <c r="AG202" t="s">
        <v>290</v>
      </c>
      <c r="AH202" t="str">
        <f>"abilova2102@mail.ru"</f>
        <v>abilova2102@mail.ru</v>
      </c>
      <c r="AI202" t="s">
        <v>476</v>
      </c>
      <c r="AK202" t="s">
        <v>944</v>
      </c>
      <c r="AP202" t="s">
        <v>342</v>
      </c>
      <c r="AT202" t="s">
        <v>294</v>
      </c>
      <c r="AU202" t="s">
        <v>295</v>
      </c>
      <c r="AW202" t="s">
        <v>296</v>
      </c>
      <c r="AX202">
        <v>1</v>
      </c>
      <c r="AY202" t="s">
        <v>297</v>
      </c>
      <c r="AZ202" t="s">
        <v>298</v>
      </c>
      <c r="BA202" t="s">
        <v>349</v>
      </c>
      <c r="BE202" t="str">
        <f>"2020-08-26T16:20:43"</f>
        <v>2020-08-26T16:20:43</v>
      </c>
      <c r="BF202" t="s">
        <v>294</v>
      </c>
      <c r="BG202" t="s">
        <v>300</v>
      </c>
      <c r="BI202" t="s">
        <v>298</v>
      </c>
      <c r="BR202" t="s">
        <v>289</v>
      </c>
      <c r="BS202" t="s">
        <v>301</v>
      </c>
      <c r="BT202" t="s">
        <v>302</v>
      </c>
      <c r="BU202" t="s">
        <v>303</v>
      </c>
      <c r="BV202" t="s">
        <v>304</v>
      </c>
      <c r="BX202" t="s">
        <v>324</v>
      </c>
      <c r="BY202" t="s">
        <v>298</v>
      </c>
      <c r="BZ202" t="s">
        <v>924</v>
      </c>
      <c r="CA202" t="s">
        <v>968</v>
      </c>
      <c r="CC202" t="s">
        <v>308</v>
      </c>
      <c r="CD202" t="s">
        <v>309</v>
      </c>
      <c r="CE202" t="s">
        <v>294</v>
      </c>
      <c r="CH202" t="s">
        <v>304</v>
      </c>
      <c r="CI202" t="s">
        <v>304</v>
      </c>
      <c r="CK202" t="s">
        <v>327</v>
      </c>
      <c r="CL202" t="s">
        <v>328</v>
      </c>
      <c r="CM202" t="s">
        <v>298</v>
      </c>
      <c r="CO202" t="s">
        <v>312</v>
      </c>
      <c r="CT202" t="s">
        <v>294</v>
      </c>
      <c r="CU202" t="s">
        <v>313</v>
      </c>
      <c r="CW202" t="s">
        <v>406</v>
      </c>
      <c r="CX202" t="s">
        <v>316</v>
      </c>
      <c r="CZ202" t="s">
        <v>289</v>
      </c>
      <c r="DA202" t="s">
        <v>289</v>
      </c>
      <c r="DB202" t="s">
        <v>289</v>
      </c>
      <c r="DC202" t="s">
        <v>289</v>
      </c>
      <c r="DI202" t="s">
        <v>289</v>
      </c>
      <c r="DL202" t="s">
        <v>289</v>
      </c>
      <c r="DM202" t="s">
        <v>317</v>
      </c>
      <c r="DS202" t="s">
        <v>289</v>
      </c>
      <c r="DT202" t="s">
        <v>289</v>
      </c>
      <c r="DU202" t="s">
        <v>318</v>
      </c>
      <c r="DV202" t="s">
        <v>289</v>
      </c>
      <c r="DX202" t="s">
        <v>319</v>
      </c>
      <c r="EA202" t="s">
        <v>294</v>
      </c>
    </row>
    <row r="203" spans="1:131" x14ac:dyDescent="0.25">
      <c r="A203">
        <v>25551758</v>
      </c>
      <c r="B203">
        <v>81250</v>
      </c>
      <c r="C203" t="str">
        <f>"070703651995"</f>
        <v>070703651995</v>
      </c>
      <c r="D203" t="s">
        <v>972</v>
      </c>
      <c r="E203" t="s">
        <v>973</v>
      </c>
      <c r="F203" t="s">
        <v>974</v>
      </c>
      <c r="G203" s="1">
        <v>39266</v>
      </c>
      <c r="I203" t="s">
        <v>286</v>
      </c>
      <c r="J203" t="s">
        <v>287</v>
      </c>
      <c r="K203" t="s">
        <v>288</v>
      </c>
      <c r="Q203" t="s">
        <v>289</v>
      </c>
      <c r="R203" t="str">
        <f>"КАЗАХСТАН, АКМОЛИНСКАЯ, ЗЕРЕНДИНСКИЙ РАЙОН, Троицкий, Кошкарбай, 8, 2"</f>
        <v>КАЗАХСТАН, АКМОЛИНСКАЯ, ЗЕРЕНДИНСКИЙ РАЙОН, Троицкий, Кошкарбай, 8, 2</v>
      </c>
      <c r="S203" t="str">
        <f>"ҚАЗАҚСТАН, АҚМОЛА, ЗЕРЕНДІ АУДАНЫ, Троицкий, Кошкарбай, 8, 2"</f>
        <v>ҚАЗАҚСТАН, АҚМОЛА, ЗЕРЕНДІ АУДАНЫ, Троицкий, Кошкарбай, 8, 2</v>
      </c>
      <c r="T203" t="str">
        <f>"Троицкий, Кошкарбай, 8, 2"</f>
        <v>Троицкий, Кошкарбай, 8, 2</v>
      </c>
      <c r="U203" t="str">
        <f>"Троицкий, Кошкарбай, 8, 2"</f>
        <v>Троицкий, Кошкарбай, 8, 2</v>
      </c>
      <c r="AC203" t="str">
        <f>"2023-08-25T00:00:00"</f>
        <v>2023-08-25T00:00:00</v>
      </c>
      <c r="AD203" t="str">
        <f>"45"</f>
        <v>45</v>
      </c>
      <c r="AE203" t="str">
        <f>"2024-09-01T19:00:32"</f>
        <v>2024-09-01T19:00:32</v>
      </c>
      <c r="AF203" t="str">
        <f>"2025-05-25T19:00:32"</f>
        <v>2025-05-25T19:00:32</v>
      </c>
      <c r="AG203" t="s">
        <v>290</v>
      </c>
      <c r="AH203" t="str">
        <f>"abilova2102@mail.ru"</f>
        <v>abilova2102@mail.ru</v>
      </c>
      <c r="AI203" t="s">
        <v>476</v>
      </c>
      <c r="AK203" t="s">
        <v>944</v>
      </c>
      <c r="AP203" t="s">
        <v>293</v>
      </c>
      <c r="AT203" t="s">
        <v>294</v>
      </c>
      <c r="AU203" t="s">
        <v>295</v>
      </c>
      <c r="AW203" t="s">
        <v>296</v>
      </c>
      <c r="AX203">
        <v>1</v>
      </c>
      <c r="AY203" t="s">
        <v>297</v>
      </c>
      <c r="AZ203" t="s">
        <v>298</v>
      </c>
      <c r="BA203" t="s">
        <v>323</v>
      </c>
      <c r="BF203" t="s">
        <v>294</v>
      </c>
      <c r="BG203" t="s">
        <v>300</v>
      </c>
      <c r="BI203" t="s">
        <v>298</v>
      </c>
      <c r="BR203" t="s">
        <v>289</v>
      </c>
      <c r="BS203" t="s">
        <v>433</v>
      </c>
      <c r="BT203" t="s">
        <v>434</v>
      </c>
      <c r="BU203" t="s">
        <v>303</v>
      </c>
      <c r="BV203" t="s">
        <v>304</v>
      </c>
      <c r="BX203" t="s">
        <v>324</v>
      </c>
      <c r="BY203" t="s">
        <v>298</v>
      </c>
      <c r="BZ203" t="s">
        <v>975</v>
      </c>
      <c r="CA203" t="s">
        <v>976</v>
      </c>
      <c r="CC203" t="s">
        <v>308</v>
      </c>
      <c r="CD203" t="s">
        <v>309</v>
      </c>
      <c r="CE203" t="s">
        <v>294</v>
      </c>
      <c r="CH203" t="s">
        <v>304</v>
      </c>
      <c r="CI203" t="s">
        <v>304</v>
      </c>
      <c r="CK203" t="s">
        <v>327</v>
      </c>
      <c r="CL203" t="s">
        <v>328</v>
      </c>
      <c r="CM203" t="s">
        <v>298</v>
      </c>
      <c r="CO203" t="s">
        <v>748</v>
      </c>
      <c r="CP203" t="s">
        <v>749</v>
      </c>
      <c r="CQ203" t="s">
        <v>750</v>
      </c>
      <c r="CR203" t="s">
        <v>298</v>
      </c>
      <c r="CS203" t="s">
        <v>977</v>
      </c>
      <c r="CT203" t="s">
        <v>294</v>
      </c>
      <c r="CU203" t="s">
        <v>313</v>
      </c>
      <c r="CW203" t="s">
        <v>406</v>
      </c>
      <c r="CX203" t="s">
        <v>316</v>
      </c>
      <c r="CZ203" t="s">
        <v>289</v>
      </c>
      <c r="DA203" t="s">
        <v>289</v>
      </c>
      <c r="DB203" t="s">
        <v>289</v>
      </c>
      <c r="DC203" t="s">
        <v>289</v>
      </c>
      <c r="DI203" t="s">
        <v>289</v>
      </c>
      <c r="DL203" t="s">
        <v>289</v>
      </c>
      <c r="DM203" t="s">
        <v>317</v>
      </c>
      <c r="DS203" t="s">
        <v>289</v>
      </c>
      <c r="DT203" t="s">
        <v>289</v>
      </c>
      <c r="DU203" t="s">
        <v>318</v>
      </c>
      <c r="DV203" t="s">
        <v>289</v>
      </c>
      <c r="DX203" t="s">
        <v>319</v>
      </c>
      <c r="EA203" t="s">
        <v>289</v>
      </c>
    </row>
    <row r="204" spans="1:131" x14ac:dyDescent="0.25">
      <c r="A204">
        <v>25551760</v>
      </c>
      <c r="B204">
        <v>139275</v>
      </c>
      <c r="C204" t="str">
        <f>"070410552106"</f>
        <v>070410552106</v>
      </c>
      <c r="D204" t="s">
        <v>978</v>
      </c>
      <c r="E204" t="s">
        <v>979</v>
      </c>
      <c r="F204" t="s">
        <v>980</v>
      </c>
      <c r="G204" s="1">
        <v>39182</v>
      </c>
      <c r="I204" t="s">
        <v>353</v>
      </c>
      <c r="J204" t="s">
        <v>287</v>
      </c>
      <c r="K204" t="s">
        <v>288</v>
      </c>
      <c r="Q204" t="s">
        <v>289</v>
      </c>
      <c r="R204" t="str">
        <f>"КАЗАХСТАН, АКМОЛИНСКАЯ, ЗЕРЕНДИНСКИЙ РАЙОН, Зерендинский, Зеренда, 35"</f>
        <v>КАЗАХСТАН, АКМОЛИНСКАЯ, ЗЕРЕНДИНСКИЙ РАЙОН, Зерендинский, Зеренда, 35</v>
      </c>
      <c r="S204" t="str">
        <f>"ҚАЗАҚСТАН, АҚМОЛА, ЗЕРЕНДІ АУДАНЫ, Зерендинский, Зеренда, 35"</f>
        <v>ҚАЗАҚСТАН, АҚМОЛА, ЗЕРЕНДІ АУДАНЫ, Зерендинский, Зеренда, 35</v>
      </c>
      <c r="T204" t="str">
        <f>"Зерендинский, Зеренда, 35"</f>
        <v>Зерендинский, Зеренда, 35</v>
      </c>
      <c r="U204" t="str">
        <f>"Зерендинский, Зеренда, 35"</f>
        <v>Зерендинский, Зеренда, 35</v>
      </c>
      <c r="AC204" t="str">
        <f>"2023-08-25T00:00:00"</f>
        <v>2023-08-25T00:00:00</v>
      </c>
      <c r="AD204" t="str">
        <f>"45"</f>
        <v>45</v>
      </c>
      <c r="AE204" t="str">
        <f>"2024-09-01T19:06:38"</f>
        <v>2024-09-01T19:06:38</v>
      </c>
      <c r="AF204" t="str">
        <f>"2025-05-25T19:06:38"</f>
        <v>2025-05-25T19:06:38</v>
      </c>
      <c r="AG204" t="s">
        <v>290</v>
      </c>
      <c r="AH204" t="str">
        <f>"abilova2102@mail.ru"</f>
        <v>abilova2102@mail.ru</v>
      </c>
      <c r="AI204" t="s">
        <v>476</v>
      </c>
      <c r="AK204" t="s">
        <v>944</v>
      </c>
      <c r="AP204" t="s">
        <v>342</v>
      </c>
      <c r="AT204" t="s">
        <v>294</v>
      </c>
      <c r="AU204" t="s">
        <v>295</v>
      </c>
      <c r="AW204" t="s">
        <v>296</v>
      </c>
      <c r="AX204">
        <v>1</v>
      </c>
      <c r="AY204" t="s">
        <v>297</v>
      </c>
      <c r="AZ204" t="s">
        <v>298</v>
      </c>
      <c r="BA204" t="s">
        <v>323</v>
      </c>
      <c r="BF204" t="s">
        <v>294</v>
      </c>
      <c r="BG204" t="s">
        <v>300</v>
      </c>
      <c r="BI204" t="s">
        <v>298</v>
      </c>
      <c r="BR204" t="s">
        <v>289</v>
      </c>
      <c r="BS204" t="s">
        <v>301</v>
      </c>
      <c r="BT204" t="s">
        <v>302</v>
      </c>
      <c r="BU204" t="s">
        <v>303</v>
      </c>
      <c r="BV204" t="s">
        <v>304</v>
      </c>
      <c r="BX204" t="s">
        <v>324</v>
      </c>
      <c r="BY204" t="s">
        <v>298</v>
      </c>
      <c r="BZ204" t="s">
        <v>981</v>
      </c>
      <c r="CA204" t="s">
        <v>982</v>
      </c>
      <c r="CC204" t="s">
        <v>308</v>
      </c>
      <c r="CD204" t="s">
        <v>309</v>
      </c>
      <c r="CE204" t="s">
        <v>294</v>
      </c>
      <c r="CH204" t="s">
        <v>304</v>
      </c>
      <c r="CI204" t="s">
        <v>304</v>
      </c>
      <c r="CK204" t="s">
        <v>327</v>
      </c>
      <c r="CL204" t="s">
        <v>328</v>
      </c>
      <c r="CM204" t="s">
        <v>298</v>
      </c>
      <c r="CO204" t="s">
        <v>312</v>
      </c>
      <c r="CT204" t="s">
        <v>294</v>
      </c>
      <c r="CU204" t="s">
        <v>313</v>
      </c>
      <c r="CW204" t="s">
        <v>406</v>
      </c>
      <c r="CX204" t="s">
        <v>316</v>
      </c>
      <c r="CZ204" t="s">
        <v>289</v>
      </c>
      <c r="DA204" t="s">
        <v>289</v>
      </c>
      <c r="DB204" t="s">
        <v>289</v>
      </c>
      <c r="DC204" t="s">
        <v>289</v>
      </c>
      <c r="DI204" t="s">
        <v>289</v>
      </c>
      <c r="DL204" t="s">
        <v>289</v>
      </c>
      <c r="DM204" t="s">
        <v>317</v>
      </c>
      <c r="DS204" t="s">
        <v>289</v>
      </c>
      <c r="DT204" t="s">
        <v>289</v>
      </c>
      <c r="DU204" t="s">
        <v>318</v>
      </c>
      <c r="DV204" t="s">
        <v>289</v>
      </c>
      <c r="DX204" t="s">
        <v>319</v>
      </c>
      <c r="EA204" t="s">
        <v>289</v>
      </c>
    </row>
    <row r="205" spans="1:131" x14ac:dyDescent="0.25">
      <c r="A205">
        <v>25551766</v>
      </c>
      <c r="B205">
        <v>84284</v>
      </c>
      <c r="C205" t="str">
        <f>"071030551660"</f>
        <v>071030551660</v>
      </c>
      <c r="D205" t="s">
        <v>983</v>
      </c>
      <c r="E205" t="s">
        <v>574</v>
      </c>
      <c r="F205" t="s">
        <v>794</v>
      </c>
      <c r="G205" s="1">
        <v>39385</v>
      </c>
      <c r="I205" t="s">
        <v>286</v>
      </c>
      <c r="J205" t="s">
        <v>287</v>
      </c>
      <c r="K205" t="s">
        <v>288</v>
      </c>
      <c r="Q205" t="s">
        <v>289</v>
      </c>
      <c r="R205" t="str">
        <f>"КАЗАХСТАН, АКМОЛИНСКАЯ, ЗЕРЕНДИНСКИЙ РАЙОН, Троицкий, Карсак, 16"</f>
        <v>КАЗАХСТАН, АКМОЛИНСКАЯ, ЗЕРЕНДИНСКИЙ РАЙОН, Троицкий, Карсак, 16</v>
      </c>
      <c r="S205" t="str">
        <f>"ҚАЗАҚСТАН, АҚМОЛА, ЗЕРЕНДІ АУДАНЫ, Троицкий, Карсак, 16"</f>
        <v>ҚАЗАҚСТАН, АҚМОЛА, ЗЕРЕНДІ АУДАНЫ, Троицкий, Карсак, 16</v>
      </c>
      <c r="T205" t="str">
        <f>"Троицкий, Карсак, 16"</f>
        <v>Троицкий, Карсак, 16</v>
      </c>
      <c r="U205" t="str">
        <f>"Троицкий, Карсак, 16"</f>
        <v>Троицкий, Карсак, 16</v>
      </c>
      <c r="AC205" t="str">
        <f>"2023-08-25T00:00:00"</f>
        <v>2023-08-25T00:00:00</v>
      </c>
      <c r="AD205" t="str">
        <f>"45"</f>
        <v>45</v>
      </c>
      <c r="AE205" t="str">
        <f>"2024-09-01T19:01:04"</f>
        <v>2024-09-01T19:01:04</v>
      </c>
      <c r="AF205" t="str">
        <f>"2025-05-25T19:01:04"</f>
        <v>2025-05-25T19:01:04</v>
      </c>
      <c r="AG205" t="s">
        <v>290</v>
      </c>
      <c r="AH205" t="str">
        <f>"baiterek_ssh_zer@mail.ru"</f>
        <v>baiterek_ssh_zer@mail.ru</v>
      </c>
      <c r="AI205" t="s">
        <v>476</v>
      </c>
      <c r="AK205" t="s">
        <v>944</v>
      </c>
      <c r="AP205" t="s">
        <v>293</v>
      </c>
      <c r="AT205" t="s">
        <v>294</v>
      </c>
      <c r="AU205" t="s">
        <v>295</v>
      </c>
      <c r="AW205" t="s">
        <v>296</v>
      </c>
      <c r="AX205">
        <v>1</v>
      </c>
      <c r="AY205" t="s">
        <v>297</v>
      </c>
      <c r="AZ205" t="s">
        <v>298</v>
      </c>
      <c r="BA205" t="s">
        <v>299</v>
      </c>
      <c r="BF205" t="s">
        <v>294</v>
      </c>
      <c r="BG205" t="s">
        <v>300</v>
      </c>
      <c r="BI205" t="s">
        <v>298</v>
      </c>
      <c r="BR205" t="s">
        <v>289</v>
      </c>
      <c r="BS205" t="s">
        <v>433</v>
      </c>
      <c r="BT205" t="s">
        <v>434</v>
      </c>
      <c r="BU205" t="s">
        <v>303</v>
      </c>
      <c r="BV205" t="s">
        <v>304</v>
      </c>
      <c r="BX205" t="s">
        <v>324</v>
      </c>
      <c r="BY205" t="s">
        <v>298</v>
      </c>
      <c r="BZ205" t="s">
        <v>945</v>
      </c>
      <c r="CA205" t="s">
        <v>946</v>
      </c>
      <c r="CC205" t="s">
        <v>308</v>
      </c>
      <c r="CD205" t="s">
        <v>309</v>
      </c>
      <c r="CE205" t="s">
        <v>294</v>
      </c>
      <c r="CK205" t="s">
        <v>984</v>
      </c>
      <c r="CL205" t="s">
        <v>311</v>
      </c>
      <c r="CM205" t="s">
        <v>298</v>
      </c>
      <c r="CO205" t="s">
        <v>312</v>
      </c>
      <c r="CT205" t="s">
        <v>294</v>
      </c>
      <c r="CU205" t="s">
        <v>313</v>
      </c>
      <c r="CW205" t="s">
        <v>406</v>
      </c>
      <c r="CX205" t="s">
        <v>316</v>
      </c>
      <c r="CZ205" t="s">
        <v>289</v>
      </c>
      <c r="DA205" t="s">
        <v>289</v>
      </c>
      <c r="DB205" t="s">
        <v>289</v>
      </c>
      <c r="DC205" t="s">
        <v>289</v>
      </c>
      <c r="DI205" t="s">
        <v>289</v>
      </c>
      <c r="DL205" t="s">
        <v>289</v>
      </c>
      <c r="DM205" t="s">
        <v>317</v>
      </c>
      <c r="DS205" t="s">
        <v>289</v>
      </c>
      <c r="DT205" t="s">
        <v>289</v>
      </c>
      <c r="DU205" t="s">
        <v>318</v>
      </c>
      <c r="DV205" t="s">
        <v>289</v>
      </c>
      <c r="DX205" t="s">
        <v>319</v>
      </c>
      <c r="EA205" t="s">
        <v>289</v>
      </c>
    </row>
    <row r="206" spans="1:131" x14ac:dyDescent="0.25">
      <c r="A206">
        <v>25551770</v>
      </c>
      <c r="B206">
        <v>155613</v>
      </c>
      <c r="C206" t="str">
        <f>"070907651869"</f>
        <v>070907651869</v>
      </c>
      <c r="D206" t="s">
        <v>440</v>
      </c>
      <c r="E206" t="s">
        <v>985</v>
      </c>
      <c r="F206" t="s">
        <v>986</v>
      </c>
      <c r="G206" s="1">
        <v>39332</v>
      </c>
      <c r="I206" t="s">
        <v>286</v>
      </c>
      <c r="J206" t="s">
        <v>287</v>
      </c>
      <c r="K206" t="s">
        <v>288</v>
      </c>
      <c r="Q206" t="s">
        <v>289</v>
      </c>
      <c r="R206" t="str">
        <f>"КАЗАХСТАН, АКМОЛИНСКАЯ, ЗЕРЕНДИНСКИЙ РАЙОН, Кызылегисский, Ортаагаш, 4"</f>
        <v>КАЗАХСТАН, АКМОЛИНСКАЯ, ЗЕРЕНДИНСКИЙ РАЙОН, Кызылегисский, Ортаагаш, 4</v>
      </c>
      <c r="S206" t="str">
        <f>"ҚАЗАҚСТАН, АҚМОЛА, ЗЕРЕНДІ АУДАНЫ, Кызылегисский, Ортаагаш, 4"</f>
        <v>ҚАЗАҚСТАН, АҚМОЛА, ЗЕРЕНДІ АУДАНЫ, Кызылегисский, Ортаагаш, 4</v>
      </c>
      <c r="T206" t="str">
        <f>"Кызылегисский, Ортаагаш, 4"</f>
        <v>Кызылегисский, Ортаагаш, 4</v>
      </c>
      <c r="U206" t="str">
        <f>"Кызылегисский, Ортаагаш, 4"</f>
        <v>Кызылегисский, Ортаагаш, 4</v>
      </c>
      <c r="AC206" t="str">
        <f>"2023-08-25T00:00:00"</f>
        <v>2023-08-25T00:00:00</v>
      </c>
      <c r="AD206" t="str">
        <f>"45"</f>
        <v>45</v>
      </c>
      <c r="AE206" t="str">
        <f>"2024-09-01T19:01:46"</f>
        <v>2024-09-01T19:01:46</v>
      </c>
      <c r="AF206" t="str">
        <f>"2025-05-25T19:01:46"</f>
        <v>2025-05-25T19:01:46</v>
      </c>
      <c r="AG206" t="s">
        <v>290</v>
      </c>
      <c r="AH206" t="str">
        <f>"nargiza@mail.ru"</f>
        <v>nargiza@mail.ru</v>
      </c>
      <c r="AI206" t="s">
        <v>476</v>
      </c>
      <c r="AK206" t="s">
        <v>944</v>
      </c>
      <c r="AP206" t="s">
        <v>293</v>
      </c>
      <c r="AT206" t="s">
        <v>294</v>
      </c>
      <c r="AU206" t="s">
        <v>295</v>
      </c>
      <c r="AW206" t="s">
        <v>296</v>
      </c>
      <c r="AX206">
        <v>1</v>
      </c>
      <c r="AY206" t="s">
        <v>297</v>
      </c>
      <c r="AZ206" t="s">
        <v>298</v>
      </c>
      <c r="BA206" t="s">
        <v>299</v>
      </c>
      <c r="BF206" t="s">
        <v>294</v>
      </c>
      <c r="BG206" t="s">
        <v>300</v>
      </c>
      <c r="BI206" t="s">
        <v>298</v>
      </c>
      <c r="BR206" t="s">
        <v>289</v>
      </c>
      <c r="BS206" t="s">
        <v>301</v>
      </c>
      <c r="BT206" t="s">
        <v>302</v>
      </c>
      <c r="BU206" t="s">
        <v>303</v>
      </c>
      <c r="BV206" t="s">
        <v>304</v>
      </c>
      <c r="BX206" t="s">
        <v>324</v>
      </c>
      <c r="BY206" t="s">
        <v>298</v>
      </c>
      <c r="BZ206" t="s">
        <v>945</v>
      </c>
      <c r="CA206" t="s">
        <v>946</v>
      </c>
      <c r="CC206" t="s">
        <v>308</v>
      </c>
      <c r="CD206" t="s">
        <v>309</v>
      </c>
      <c r="CE206" t="s">
        <v>294</v>
      </c>
      <c r="CK206" t="s">
        <v>471</v>
      </c>
      <c r="CL206" t="s">
        <v>328</v>
      </c>
      <c r="CM206" t="s">
        <v>298</v>
      </c>
      <c r="CO206" t="s">
        <v>748</v>
      </c>
      <c r="CP206" t="s">
        <v>749</v>
      </c>
      <c r="CQ206" t="s">
        <v>987</v>
      </c>
      <c r="CR206" t="s">
        <v>675</v>
      </c>
      <c r="CS206" t="s">
        <v>988</v>
      </c>
      <c r="CT206" t="s">
        <v>294</v>
      </c>
      <c r="CU206" t="s">
        <v>313</v>
      </c>
      <c r="CW206" t="s">
        <v>406</v>
      </c>
      <c r="CX206" t="s">
        <v>316</v>
      </c>
      <c r="CZ206" t="s">
        <v>289</v>
      </c>
      <c r="DA206" t="s">
        <v>289</v>
      </c>
      <c r="DB206" t="s">
        <v>289</v>
      </c>
      <c r="DC206" t="s">
        <v>289</v>
      </c>
      <c r="DI206" t="s">
        <v>289</v>
      </c>
      <c r="DL206" t="s">
        <v>289</v>
      </c>
      <c r="DM206" t="s">
        <v>317</v>
      </c>
      <c r="DS206" t="s">
        <v>289</v>
      </c>
      <c r="DT206" t="s">
        <v>289</v>
      </c>
      <c r="DU206" t="s">
        <v>318</v>
      </c>
      <c r="DV206" t="s">
        <v>289</v>
      </c>
      <c r="DX206" t="s">
        <v>319</v>
      </c>
      <c r="EA206" t="s">
        <v>289</v>
      </c>
    </row>
    <row r="207" spans="1:131" x14ac:dyDescent="0.25">
      <c r="A207">
        <v>25551772</v>
      </c>
      <c r="B207">
        <v>139218</v>
      </c>
      <c r="C207" t="str">
        <f>"070621650262"</f>
        <v>070621650262</v>
      </c>
      <c r="D207" t="s">
        <v>989</v>
      </c>
      <c r="E207" t="s">
        <v>708</v>
      </c>
      <c r="F207" t="s">
        <v>990</v>
      </c>
      <c r="G207" s="1">
        <v>39255</v>
      </c>
      <c r="I207" t="s">
        <v>286</v>
      </c>
      <c r="J207" t="s">
        <v>287</v>
      </c>
      <c r="K207" t="s">
        <v>288</v>
      </c>
      <c r="Q207" t="s">
        <v>289</v>
      </c>
      <c r="R207" t="str">
        <f>"КАЗАХСТАН, АКМОЛИНСКАЯ, ЗЕРЕНДИНСКИЙ РАЙОН, Зерендинский, Зеренда, 4, 2"</f>
        <v>КАЗАХСТАН, АКМОЛИНСКАЯ, ЗЕРЕНДИНСКИЙ РАЙОН, Зерендинский, Зеренда, 4, 2</v>
      </c>
      <c r="S207" t="str">
        <f>"ҚАЗАҚСТАН, АҚМОЛА, ЗЕРЕНДІ АУДАНЫ, Зерендинский, Зеренда, 4, 2"</f>
        <v>ҚАЗАҚСТАН, АҚМОЛА, ЗЕРЕНДІ АУДАНЫ, Зерендинский, Зеренда, 4, 2</v>
      </c>
      <c r="T207" t="str">
        <f>"Зерендинский, Зеренда, 4, 2"</f>
        <v>Зерендинский, Зеренда, 4, 2</v>
      </c>
      <c r="U207" t="str">
        <f>"Зерендинский, Зеренда, 4, 2"</f>
        <v>Зерендинский, Зеренда, 4, 2</v>
      </c>
      <c r="AC207" t="str">
        <f>"2023-08-25T00:00:00"</f>
        <v>2023-08-25T00:00:00</v>
      </c>
      <c r="AD207" t="str">
        <f>"45"</f>
        <v>45</v>
      </c>
      <c r="AE207" t="str">
        <f>"2024-09-01T19:07:15"</f>
        <v>2024-09-01T19:07:15</v>
      </c>
      <c r="AF207" t="str">
        <f>"2025-05-25T19:07:15"</f>
        <v>2025-05-25T19:07:15</v>
      </c>
      <c r="AG207" t="s">
        <v>290</v>
      </c>
      <c r="AH207" t="str">
        <f>"zerendash1@mail.ru"</f>
        <v>zerendash1@mail.ru</v>
      </c>
      <c r="AI207" t="s">
        <v>476</v>
      </c>
      <c r="AK207" t="s">
        <v>944</v>
      </c>
      <c r="AP207" t="s">
        <v>342</v>
      </c>
      <c r="AT207" t="s">
        <v>294</v>
      </c>
      <c r="AU207" t="s">
        <v>679</v>
      </c>
      <c r="AW207" t="s">
        <v>296</v>
      </c>
      <c r="AX207">
        <v>1</v>
      </c>
      <c r="AY207" t="s">
        <v>297</v>
      </c>
      <c r="AZ207" t="s">
        <v>298</v>
      </c>
      <c r="BA207" t="s">
        <v>299</v>
      </c>
      <c r="BF207" t="s">
        <v>294</v>
      </c>
      <c r="BG207" t="s">
        <v>300</v>
      </c>
      <c r="BI207" t="s">
        <v>298</v>
      </c>
      <c r="BR207" t="s">
        <v>289</v>
      </c>
      <c r="BS207" t="s">
        <v>301</v>
      </c>
      <c r="BT207" t="s">
        <v>302</v>
      </c>
      <c r="BU207" t="s">
        <v>303</v>
      </c>
      <c r="BV207" t="s">
        <v>304</v>
      </c>
      <c r="BX207" t="s">
        <v>305</v>
      </c>
      <c r="BY207" t="s">
        <v>298</v>
      </c>
      <c r="BZ207" t="s">
        <v>924</v>
      </c>
      <c r="CA207" t="s">
        <v>991</v>
      </c>
      <c r="CC207" t="s">
        <v>308</v>
      </c>
      <c r="CD207" t="s">
        <v>309</v>
      </c>
      <c r="CE207" t="s">
        <v>294</v>
      </c>
      <c r="CK207" t="s">
        <v>327</v>
      </c>
      <c r="CL207" t="s">
        <v>328</v>
      </c>
      <c r="CM207" t="s">
        <v>298</v>
      </c>
      <c r="CO207" t="s">
        <v>312</v>
      </c>
      <c r="CT207" t="s">
        <v>294</v>
      </c>
      <c r="CU207" t="s">
        <v>313</v>
      </c>
      <c r="CW207" t="s">
        <v>406</v>
      </c>
      <c r="CX207" t="s">
        <v>316</v>
      </c>
      <c r="CZ207" t="s">
        <v>289</v>
      </c>
      <c r="DA207" t="s">
        <v>289</v>
      </c>
      <c r="DB207" t="s">
        <v>289</v>
      </c>
      <c r="DC207" t="s">
        <v>289</v>
      </c>
      <c r="DI207" t="s">
        <v>289</v>
      </c>
      <c r="DL207" t="s">
        <v>289</v>
      </c>
      <c r="DM207" t="s">
        <v>317</v>
      </c>
      <c r="DS207" t="s">
        <v>289</v>
      </c>
      <c r="DT207" t="s">
        <v>289</v>
      </c>
      <c r="DU207" t="s">
        <v>318</v>
      </c>
      <c r="DV207" t="s">
        <v>289</v>
      </c>
      <c r="DX207" t="s">
        <v>319</v>
      </c>
      <c r="EA207" t="s">
        <v>289</v>
      </c>
    </row>
    <row r="208" spans="1:131" x14ac:dyDescent="0.25">
      <c r="A208">
        <v>25582383</v>
      </c>
      <c r="B208">
        <v>157098</v>
      </c>
      <c r="C208" t="str">
        <f>"071217553792"</f>
        <v>071217553792</v>
      </c>
      <c r="D208" t="s">
        <v>992</v>
      </c>
      <c r="E208" t="s">
        <v>993</v>
      </c>
      <c r="F208" t="s">
        <v>994</v>
      </c>
      <c r="G208" s="1">
        <v>39433</v>
      </c>
      <c r="I208" t="s">
        <v>353</v>
      </c>
      <c r="J208" t="s">
        <v>287</v>
      </c>
      <c r="K208" t="s">
        <v>288</v>
      </c>
      <c r="Q208" t="s">
        <v>289</v>
      </c>
      <c r="R208" t="str">
        <f>"КАЗАХСТАН, АКМОЛИНСКАЯ, ЗЕРЕНДИНСКИЙ РАЙОН, Байтерекский, Байтерек, 34, 1"</f>
        <v>КАЗАХСТАН, АКМОЛИНСКАЯ, ЗЕРЕНДИНСКИЙ РАЙОН, Байтерекский, Байтерек, 34, 1</v>
      </c>
      <c r="S208" t="str">
        <f>"ҚАЗАҚСТАН, АҚМОЛА, ЗЕРЕНДІ АУДАНЫ, Байтерекский, Байтерек, 34, 1"</f>
        <v>ҚАЗАҚСТАН, АҚМОЛА, ЗЕРЕНДІ АУДАНЫ, Байтерекский, Байтерек, 34, 1</v>
      </c>
      <c r="T208" t="str">
        <f>"Байтерекский, Байтерек, 34, 1"</f>
        <v>Байтерекский, Байтерек, 34, 1</v>
      </c>
      <c r="U208" t="str">
        <f>"Байтерекский, Байтерек, 34, 1"</f>
        <v>Байтерекский, Байтерек, 34, 1</v>
      </c>
      <c r="AC208" t="str">
        <f>"2023-08-25T00:00:00"</f>
        <v>2023-08-25T00:00:00</v>
      </c>
      <c r="AD208" t="str">
        <f>"46"</f>
        <v>46</v>
      </c>
      <c r="AE208" t="str">
        <f>"2024-09-01T19:07:45"</f>
        <v>2024-09-01T19:07:45</v>
      </c>
      <c r="AF208" t="str">
        <f>"2025-05-25T19:07:45"</f>
        <v>2025-05-25T19:07:45</v>
      </c>
      <c r="AG208" t="s">
        <v>290</v>
      </c>
      <c r="AH208" t="str">
        <f>"baiterek_ssh_zer@mail.ru"</f>
        <v>baiterek_ssh_zer@mail.ru</v>
      </c>
      <c r="AI208" t="s">
        <v>476</v>
      </c>
      <c r="AK208" t="s">
        <v>944</v>
      </c>
      <c r="AP208" t="s">
        <v>342</v>
      </c>
      <c r="AT208" t="s">
        <v>294</v>
      </c>
      <c r="AU208" t="s">
        <v>295</v>
      </c>
      <c r="AW208" t="s">
        <v>296</v>
      </c>
      <c r="AX208">
        <v>1</v>
      </c>
      <c r="AY208" t="s">
        <v>297</v>
      </c>
      <c r="AZ208" t="s">
        <v>298</v>
      </c>
      <c r="BA208" t="s">
        <v>299</v>
      </c>
      <c r="BF208" t="s">
        <v>294</v>
      </c>
      <c r="BG208" t="s">
        <v>300</v>
      </c>
      <c r="BI208" t="s">
        <v>298</v>
      </c>
      <c r="BR208" t="s">
        <v>289</v>
      </c>
      <c r="BS208" t="s">
        <v>433</v>
      </c>
      <c r="BT208" t="s">
        <v>434</v>
      </c>
      <c r="BU208" t="s">
        <v>303</v>
      </c>
      <c r="BV208" t="s">
        <v>304</v>
      </c>
      <c r="BX208" t="s">
        <v>324</v>
      </c>
      <c r="BY208" t="s">
        <v>298</v>
      </c>
      <c r="BZ208" t="s">
        <v>924</v>
      </c>
      <c r="CA208" t="s">
        <v>995</v>
      </c>
      <c r="CC208" t="s">
        <v>308</v>
      </c>
      <c r="CD208" t="s">
        <v>309</v>
      </c>
      <c r="CE208" t="s">
        <v>294</v>
      </c>
      <c r="CK208" t="s">
        <v>455</v>
      </c>
      <c r="CL208" t="s">
        <v>328</v>
      </c>
      <c r="CM208" t="s">
        <v>298</v>
      </c>
      <c r="CO208" t="s">
        <v>312</v>
      </c>
      <c r="CT208" t="s">
        <v>294</v>
      </c>
      <c r="CU208" t="s">
        <v>313</v>
      </c>
      <c r="CW208" t="s">
        <v>406</v>
      </c>
      <c r="CX208" t="s">
        <v>316</v>
      </c>
      <c r="CZ208" t="s">
        <v>289</v>
      </c>
      <c r="DA208" t="s">
        <v>289</v>
      </c>
      <c r="DB208" t="s">
        <v>289</v>
      </c>
      <c r="DC208" t="s">
        <v>289</v>
      </c>
      <c r="DI208" t="s">
        <v>289</v>
      </c>
      <c r="DL208" t="s">
        <v>289</v>
      </c>
      <c r="DM208" t="s">
        <v>317</v>
      </c>
      <c r="DS208" t="s">
        <v>289</v>
      </c>
      <c r="DT208" t="s">
        <v>289</v>
      </c>
      <c r="DU208" t="s">
        <v>318</v>
      </c>
      <c r="DV208" t="s">
        <v>289</v>
      </c>
      <c r="DX208" t="s">
        <v>319</v>
      </c>
      <c r="EA208" t="s">
        <v>289</v>
      </c>
    </row>
    <row r="209" spans="1:231" x14ac:dyDescent="0.25">
      <c r="A209">
        <v>25583056</v>
      </c>
      <c r="B209">
        <v>480780</v>
      </c>
      <c r="C209" t="str">
        <f>"080530650091"</f>
        <v>080530650091</v>
      </c>
      <c r="D209" t="s">
        <v>996</v>
      </c>
      <c r="E209" t="s">
        <v>837</v>
      </c>
      <c r="F209" t="s">
        <v>617</v>
      </c>
      <c r="G209" s="1">
        <v>39598</v>
      </c>
      <c r="I209" t="s">
        <v>286</v>
      </c>
      <c r="J209" t="s">
        <v>287</v>
      </c>
      <c r="K209" t="s">
        <v>288</v>
      </c>
      <c r="Q209" t="s">
        <v>289</v>
      </c>
      <c r="R209" t="str">
        <f>"КАЗАХСТАН, АКМОЛИНСКАЯ, ЗЕРЕНДИНСКИЙ РАЙОН, Малика Габдуллина, Малика Габдуллина, 33, 1"</f>
        <v>КАЗАХСТАН, АКМОЛИНСКАЯ, ЗЕРЕНДИНСКИЙ РАЙОН, Малика Габдуллина, Малика Габдуллина, 33, 1</v>
      </c>
      <c r="S209" t="str">
        <f>"ҚАЗАҚСТАН, АҚМОЛА, ЗЕРЕНДІ АУДАНЫ, Малика Габдуллина, Малика Габдуллина, 33, 1"</f>
        <v>ҚАЗАҚСТАН, АҚМОЛА, ЗЕРЕНДІ АУДАНЫ, Малика Габдуллина, Малика Габдуллина, 33, 1</v>
      </c>
      <c r="T209" t="str">
        <f>"Малика Габдуллина, Малика Габдуллина, 33, 1"</f>
        <v>Малика Габдуллина, Малика Габдуллина, 33, 1</v>
      </c>
      <c r="U209" t="str">
        <f>"Малика Габдуллина, Малика Габдуллина, 33, 1"</f>
        <v>Малика Габдуллина, Малика Габдуллина, 33, 1</v>
      </c>
      <c r="AC209" t="str">
        <f>"2023-08-25T00:00:00"</f>
        <v>2023-08-25T00:00:00</v>
      </c>
      <c r="AD209" t="str">
        <f>"46"</f>
        <v>46</v>
      </c>
      <c r="AE209" t="str">
        <f>"2024-09-01T19:02:27"</f>
        <v>2024-09-01T19:02:27</v>
      </c>
      <c r="AF209" t="str">
        <f>"2025-05-25T19:02:27"</f>
        <v>2025-05-25T19:02:27</v>
      </c>
      <c r="AG209" t="s">
        <v>290</v>
      </c>
      <c r="AH209" t="str">
        <f>"phl-osh@mail.ru"</f>
        <v>phl-osh@mail.ru</v>
      </c>
      <c r="AI209" t="s">
        <v>476</v>
      </c>
      <c r="AK209" t="s">
        <v>944</v>
      </c>
      <c r="AP209" t="s">
        <v>293</v>
      </c>
      <c r="AT209" t="s">
        <v>294</v>
      </c>
      <c r="AU209" t="s">
        <v>295</v>
      </c>
      <c r="AW209" t="s">
        <v>296</v>
      </c>
      <c r="AX209">
        <v>1</v>
      </c>
      <c r="AY209" t="s">
        <v>297</v>
      </c>
      <c r="AZ209" t="s">
        <v>298</v>
      </c>
      <c r="BA209" t="s">
        <v>299</v>
      </c>
      <c r="BF209" t="s">
        <v>294</v>
      </c>
      <c r="BG209" t="s">
        <v>300</v>
      </c>
      <c r="BI209" t="s">
        <v>298</v>
      </c>
      <c r="BR209" t="s">
        <v>289</v>
      </c>
      <c r="BS209" t="s">
        <v>433</v>
      </c>
      <c r="BT209" t="s">
        <v>434</v>
      </c>
      <c r="BU209" t="s">
        <v>303</v>
      </c>
      <c r="BV209" t="s">
        <v>304</v>
      </c>
      <c r="BX209" t="s">
        <v>324</v>
      </c>
      <c r="BY209" t="s">
        <v>298</v>
      </c>
      <c r="BZ209" t="s">
        <v>945</v>
      </c>
      <c r="CA209" t="s">
        <v>997</v>
      </c>
      <c r="CC209" t="s">
        <v>308</v>
      </c>
      <c r="CD209" t="s">
        <v>309</v>
      </c>
      <c r="CE209" t="s">
        <v>294</v>
      </c>
      <c r="CK209" t="s">
        <v>327</v>
      </c>
      <c r="CL209" t="s">
        <v>328</v>
      </c>
      <c r="CM209" t="s">
        <v>298</v>
      </c>
      <c r="CO209" t="s">
        <v>672</v>
      </c>
      <c r="CP209" t="s">
        <v>749</v>
      </c>
      <c r="CQ209" t="s">
        <v>987</v>
      </c>
      <c r="CR209" t="s">
        <v>675</v>
      </c>
      <c r="CS209" t="s">
        <v>998</v>
      </c>
      <c r="CT209" t="s">
        <v>294</v>
      </c>
      <c r="CU209" t="s">
        <v>313</v>
      </c>
      <c r="CW209" t="s">
        <v>406</v>
      </c>
      <c r="CX209" t="s">
        <v>316</v>
      </c>
      <c r="CZ209" t="s">
        <v>289</v>
      </c>
      <c r="DA209" t="s">
        <v>289</v>
      </c>
      <c r="DB209" t="s">
        <v>289</v>
      </c>
      <c r="DC209" t="s">
        <v>289</v>
      </c>
      <c r="DI209" t="s">
        <v>289</v>
      </c>
      <c r="DL209" t="s">
        <v>289</v>
      </c>
      <c r="DM209" t="s">
        <v>317</v>
      </c>
      <c r="DS209" t="s">
        <v>289</v>
      </c>
      <c r="DT209" t="s">
        <v>289</v>
      </c>
      <c r="DU209" t="s">
        <v>318</v>
      </c>
      <c r="DV209" t="s">
        <v>289</v>
      </c>
      <c r="DX209" t="s">
        <v>319</v>
      </c>
      <c r="EA209" t="s">
        <v>289</v>
      </c>
    </row>
    <row r="210" spans="1:231" x14ac:dyDescent="0.25">
      <c r="A210">
        <v>25583360</v>
      </c>
      <c r="B210">
        <v>157206</v>
      </c>
      <c r="C210" t="str">
        <f>"080831553026"</f>
        <v>080831553026</v>
      </c>
      <c r="D210" t="s">
        <v>999</v>
      </c>
      <c r="E210" t="s">
        <v>1000</v>
      </c>
      <c r="F210" t="s">
        <v>1001</v>
      </c>
      <c r="G210" s="1">
        <v>39691</v>
      </c>
      <c r="I210" t="s">
        <v>353</v>
      </c>
      <c r="J210" t="s">
        <v>287</v>
      </c>
      <c r="K210" t="s">
        <v>288</v>
      </c>
      <c r="Q210" t="s">
        <v>289</v>
      </c>
      <c r="R210" t="str">
        <f>"КАЗАХСТАН, АКМОЛИНСКАЯ, ЗЕРЕНДИНСКИЙ РАЙОН, Байтерекский, Байтерек, 20, 1"</f>
        <v>КАЗАХСТАН, АКМОЛИНСКАЯ, ЗЕРЕНДИНСКИЙ РАЙОН, Байтерекский, Байтерек, 20, 1</v>
      </c>
      <c r="S210" t="str">
        <f>"ҚАЗАҚСТАН, АҚМОЛА, ЗЕРЕНДІ АУДАНЫ, Байтерекский, Байтерек, 20, 1"</f>
        <v>ҚАЗАҚСТАН, АҚМОЛА, ЗЕРЕНДІ АУДАНЫ, Байтерекский, Байтерек, 20, 1</v>
      </c>
      <c r="T210" t="str">
        <f>"Байтерекский, Байтерек, 20, 1"</f>
        <v>Байтерекский, Байтерек, 20, 1</v>
      </c>
      <c r="U210" t="str">
        <f>"Байтерекский, Байтерек, 20, 1"</f>
        <v>Байтерекский, Байтерек, 20, 1</v>
      </c>
      <c r="AC210" t="str">
        <f>"2023-08-25T00:00:00"</f>
        <v>2023-08-25T00:00:00</v>
      </c>
      <c r="AD210" t="str">
        <f>"46"</f>
        <v>46</v>
      </c>
      <c r="AE210" t="str">
        <f>"2024-09-01T19:03:10"</f>
        <v>2024-09-01T19:03:10</v>
      </c>
      <c r="AF210" t="str">
        <f>"2025-05-25T19:03:10"</f>
        <v>2025-05-25T19:03:10</v>
      </c>
      <c r="AG210" t="s">
        <v>290</v>
      </c>
      <c r="AH210" t="str">
        <f>"baiterek_ssh_zer@mail.ru"</f>
        <v>baiterek_ssh_zer@mail.ru</v>
      </c>
      <c r="AI210" t="s">
        <v>476</v>
      </c>
      <c r="AK210" t="s">
        <v>944</v>
      </c>
      <c r="AP210" t="s">
        <v>293</v>
      </c>
      <c r="AT210" t="s">
        <v>294</v>
      </c>
      <c r="AU210" t="s">
        <v>295</v>
      </c>
      <c r="AW210" t="s">
        <v>296</v>
      </c>
      <c r="AX210">
        <v>1</v>
      </c>
      <c r="AY210" t="s">
        <v>297</v>
      </c>
      <c r="AZ210" t="s">
        <v>298</v>
      </c>
      <c r="BA210" t="s">
        <v>299</v>
      </c>
      <c r="BF210" t="s">
        <v>294</v>
      </c>
      <c r="BG210" t="s">
        <v>300</v>
      </c>
      <c r="BI210" t="s">
        <v>298</v>
      </c>
      <c r="BR210" t="s">
        <v>289</v>
      </c>
      <c r="BS210" t="s">
        <v>433</v>
      </c>
      <c r="BT210" t="s">
        <v>434</v>
      </c>
      <c r="BU210" t="s">
        <v>303</v>
      </c>
      <c r="BV210" t="s">
        <v>304</v>
      </c>
      <c r="BX210" t="s">
        <v>324</v>
      </c>
      <c r="BY210" t="s">
        <v>298</v>
      </c>
      <c r="BZ210" t="s">
        <v>945</v>
      </c>
      <c r="CA210" t="s">
        <v>946</v>
      </c>
      <c r="CC210" t="s">
        <v>308</v>
      </c>
      <c r="CD210" t="s">
        <v>309</v>
      </c>
      <c r="CE210" t="s">
        <v>294</v>
      </c>
      <c r="CK210" t="s">
        <v>414</v>
      </c>
      <c r="CL210" t="s">
        <v>311</v>
      </c>
      <c r="CM210" t="s">
        <v>298</v>
      </c>
      <c r="CO210" t="s">
        <v>312</v>
      </c>
      <c r="CT210" t="s">
        <v>294</v>
      </c>
      <c r="CU210" t="s">
        <v>313</v>
      </c>
      <c r="CW210" t="s">
        <v>406</v>
      </c>
      <c r="CX210" t="s">
        <v>316</v>
      </c>
      <c r="CZ210" t="s">
        <v>289</v>
      </c>
      <c r="DA210" t="s">
        <v>289</v>
      </c>
      <c r="DB210" t="s">
        <v>289</v>
      </c>
      <c r="DC210" t="s">
        <v>289</v>
      </c>
      <c r="DI210" t="s">
        <v>289</v>
      </c>
      <c r="DL210" t="s">
        <v>289</v>
      </c>
      <c r="DM210" t="s">
        <v>317</v>
      </c>
      <c r="DS210" t="s">
        <v>289</v>
      </c>
      <c r="DT210" t="s">
        <v>289</v>
      </c>
      <c r="DU210" t="s">
        <v>318</v>
      </c>
      <c r="DV210" t="s">
        <v>289</v>
      </c>
      <c r="DX210" t="s">
        <v>319</v>
      </c>
      <c r="EA210" t="s">
        <v>294</v>
      </c>
    </row>
    <row r="211" spans="1:231" x14ac:dyDescent="0.25">
      <c r="A211">
        <v>25583717</v>
      </c>
      <c r="B211">
        <v>157083</v>
      </c>
      <c r="C211" t="str">
        <f>"070922551230"</f>
        <v>070922551230</v>
      </c>
      <c r="D211" t="s">
        <v>1002</v>
      </c>
      <c r="E211" t="s">
        <v>1003</v>
      </c>
      <c r="F211" t="s">
        <v>1004</v>
      </c>
      <c r="G211" s="1">
        <v>39347</v>
      </c>
      <c r="I211" t="s">
        <v>353</v>
      </c>
      <c r="J211" t="s">
        <v>287</v>
      </c>
      <c r="K211" t="s">
        <v>288</v>
      </c>
      <c r="Q211" t="s">
        <v>289</v>
      </c>
      <c r="R211" t="str">
        <f>"КАЗАХСТАН, АКМОЛИНСКАЯ, ЗЕРЕНДИНСКИЙ РАЙОН, Байтерекский, Байтерек, 14, 1"</f>
        <v>КАЗАХСТАН, АКМОЛИНСКАЯ, ЗЕРЕНДИНСКИЙ РАЙОН, Байтерекский, Байтерек, 14, 1</v>
      </c>
      <c r="S211" t="str">
        <f>"ҚАЗАҚСТАН, АҚМОЛА, ЗЕРЕНДІ АУДАНЫ, Байтерекский, Байтерек, 14, 1"</f>
        <v>ҚАЗАҚСТАН, АҚМОЛА, ЗЕРЕНДІ АУДАНЫ, Байтерекский, Байтерек, 14, 1</v>
      </c>
      <c r="T211" t="str">
        <f>"Байтерекский, Байтерек, 14, 1"</f>
        <v>Байтерекский, Байтерек, 14, 1</v>
      </c>
      <c r="U211" t="str">
        <f>"Байтерекский, Байтерек, 14, 1"</f>
        <v>Байтерекский, Байтерек, 14, 1</v>
      </c>
      <c r="AC211" t="str">
        <f>"2023-08-25T00:00:00"</f>
        <v>2023-08-25T00:00:00</v>
      </c>
      <c r="AD211" t="str">
        <f>"46"</f>
        <v>46</v>
      </c>
      <c r="AE211" t="str">
        <f>"2024-09-01T19:03:44"</f>
        <v>2024-09-01T19:03:44</v>
      </c>
      <c r="AF211" t="str">
        <f>"2025-05-25T19:03:44"</f>
        <v>2025-05-25T19:03:44</v>
      </c>
      <c r="AG211" t="s">
        <v>290</v>
      </c>
      <c r="AH211" t="str">
        <f>"baiterek_ssh_zer@mail.ru"</f>
        <v>baiterek_ssh_zer@mail.ru</v>
      </c>
      <c r="AI211" t="s">
        <v>476</v>
      </c>
      <c r="AK211" t="s">
        <v>944</v>
      </c>
      <c r="AP211" t="s">
        <v>293</v>
      </c>
      <c r="AT211" t="s">
        <v>294</v>
      </c>
      <c r="AU211" t="s">
        <v>295</v>
      </c>
      <c r="AW211" t="s">
        <v>296</v>
      </c>
      <c r="AX211">
        <v>1</v>
      </c>
      <c r="AY211" t="s">
        <v>297</v>
      </c>
      <c r="AZ211" t="s">
        <v>298</v>
      </c>
      <c r="BA211" t="s">
        <v>299</v>
      </c>
      <c r="BF211" t="s">
        <v>294</v>
      </c>
      <c r="BG211" t="s">
        <v>300</v>
      </c>
      <c r="BI211" t="s">
        <v>298</v>
      </c>
      <c r="BR211" t="s">
        <v>289</v>
      </c>
      <c r="BS211" t="s">
        <v>433</v>
      </c>
      <c r="BT211" t="s">
        <v>434</v>
      </c>
      <c r="BU211" t="s">
        <v>303</v>
      </c>
      <c r="BV211" t="s">
        <v>365</v>
      </c>
      <c r="BX211" t="s">
        <v>305</v>
      </c>
      <c r="BY211" t="s">
        <v>298</v>
      </c>
      <c r="BZ211" t="s">
        <v>945</v>
      </c>
      <c r="CA211" t="s">
        <v>960</v>
      </c>
      <c r="CC211" t="s">
        <v>308</v>
      </c>
      <c r="CD211" t="s">
        <v>309</v>
      </c>
      <c r="CE211" t="s">
        <v>294</v>
      </c>
      <c r="CK211" t="s">
        <v>455</v>
      </c>
      <c r="CL211" t="s">
        <v>328</v>
      </c>
      <c r="CM211" t="s">
        <v>298</v>
      </c>
      <c r="CO211" t="s">
        <v>312</v>
      </c>
      <c r="CT211" t="s">
        <v>294</v>
      </c>
      <c r="CU211" t="s">
        <v>313</v>
      </c>
      <c r="CW211" t="s">
        <v>406</v>
      </c>
      <c r="CX211" t="s">
        <v>316</v>
      </c>
      <c r="CZ211" t="s">
        <v>289</v>
      </c>
      <c r="DA211" t="s">
        <v>289</v>
      </c>
      <c r="DB211" t="s">
        <v>289</v>
      </c>
      <c r="DC211" t="s">
        <v>289</v>
      </c>
      <c r="DI211" t="s">
        <v>289</v>
      </c>
      <c r="DL211" t="s">
        <v>289</v>
      </c>
      <c r="DM211" t="s">
        <v>317</v>
      </c>
      <c r="DS211" t="s">
        <v>289</v>
      </c>
      <c r="DT211" t="s">
        <v>289</v>
      </c>
      <c r="DU211" t="s">
        <v>318</v>
      </c>
      <c r="DV211" t="s">
        <v>289</v>
      </c>
      <c r="DX211" t="s">
        <v>368</v>
      </c>
      <c r="DY211" t="s">
        <v>472</v>
      </c>
      <c r="DZ211" t="s">
        <v>473</v>
      </c>
      <c r="EA211" t="s">
        <v>289</v>
      </c>
    </row>
    <row r="212" spans="1:231" x14ac:dyDescent="0.25">
      <c r="A212">
        <v>25603120</v>
      </c>
      <c r="B212">
        <v>9951304</v>
      </c>
      <c r="C212" t="str">
        <f>"170913601649"</f>
        <v>170913601649</v>
      </c>
      <c r="D212" t="s">
        <v>1005</v>
      </c>
      <c r="E212" t="s">
        <v>428</v>
      </c>
      <c r="G212" s="1">
        <v>42991</v>
      </c>
      <c r="I212" t="s">
        <v>286</v>
      </c>
      <c r="J212" t="s">
        <v>287</v>
      </c>
      <c r="K212" t="s">
        <v>288</v>
      </c>
      <c r="Q212" t="s">
        <v>289</v>
      </c>
      <c r="R212" t="str">
        <f>"КАЗАХСТАН, АКМОЛИНСКАЯ, ЗЕРЕНДИНСКИЙ РАЙОН, Малика Габдуллина, Малика Габдуллина, 17, 1"</f>
        <v>КАЗАХСТАН, АКМОЛИНСКАЯ, ЗЕРЕНДИНСКИЙ РАЙОН, Малика Габдуллина, Малика Габдуллина, 17, 1</v>
      </c>
      <c r="S212" t="str">
        <f>"ҚАЗАҚСТАН, АҚМОЛА, ЗЕРЕНДІ АУДАНЫ, Малика Габдуллина, Малика Габдуллина, 17, 1"</f>
        <v>ҚАЗАҚСТАН, АҚМОЛА, ЗЕРЕНДІ АУДАНЫ, Малика Габдуллина, Малика Габдуллина, 17, 1</v>
      </c>
      <c r="T212" t="str">
        <f>"Малика Габдуллина, Малика Габдуллина, 17, 1"</f>
        <v>Малика Габдуллина, Малика Габдуллина, 17, 1</v>
      </c>
      <c r="U212" t="str">
        <f>"Малика Габдуллина, Малика Габдуллина, 17, 1"</f>
        <v>Малика Габдуллина, Малика Габдуллина, 17, 1</v>
      </c>
      <c r="AC212" t="str">
        <f>"2023-08-25T00:00:00"</f>
        <v>2023-08-25T00:00:00</v>
      </c>
      <c r="AD212" t="str">
        <f>"45"</f>
        <v>45</v>
      </c>
      <c r="AE212" t="str">
        <f>"2024-09-01T12:01:33"</f>
        <v>2024-09-01T12:01:33</v>
      </c>
      <c r="AF212" t="str">
        <f>"2025-05-25T12:01:33"</f>
        <v>2025-05-25T12:01:33</v>
      </c>
      <c r="AG212" t="s">
        <v>290</v>
      </c>
      <c r="AI212" t="s">
        <v>373</v>
      </c>
      <c r="AK212" t="s">
        <v>866</v>
      </c>
      <c r="AP212" t="s">
        <v>293</v>
      </c>
      <c r="AQ212" t="s">
        <v>289</v>
      </c>
      <c r="AT212" t="s">
        <v>294</v>
      </c>
      <c r="AU212" t="s">
        <v>295</v>
      </c>
      <c r="AW212" t="s">
        <v>296</v>
      </c>
      <c r="AX212">
        <v>1</v>
      </c>
      <c r="AY212" t="s">
        <v>297</v>
      </c>
      <c r="AZ212" t="s">
        <v>298</v>
      </c>
      <c r="BA212" t="s">
        <v>299</v>
      </c>
      <c r="BF212" t="s">
        <v>294</v>
      </c>
      <c r="BG212" t="s">
        <v>300</v>
      </c>
      <c r="BI212" t="s">
        <v>298</v>
      </c>
      <c r="BR212" t="s">
        <v>289</v>
      </c>
      <c r="BS212" t="s">
        <v>301</v>
      </c>
      <c r="BT212" t="s">
        <v>302</v>
      </c>
      <c r="BU212" t="s">
        <v>303</v>
      </c>
      <c r="BV212" t="s">
        <v>365</v>
      </c>
      <c r="BX212" t="s">
        <v>867</v>
      </c>
      <c r="BY212" t="s">
        <v>298</v>
      </c>
      <c r="CC212" t="s">
        <v>309</v>
      </c>
      <c r="CE212" t="s">
        <v>289</v>
      </c>
      <c r="CJ212" s="3">
        <v>45901</v>
      </c>
      <c r="CK212" t="s">
        <v>940</v>
      </c>
      <c r="CL212" t="s">
        <v>311</v>
      </c>
      <c r="CM212" t="s">
        <v>631</v>
      </c>
      <c r="CN212" t="s">
        <v>487</v>
      </c>
      <c r="CO212" t="s">
        <v>312</v>
      </c>
      <c r="CT212" t="s">
        <v>294</v>
      </c>
      <c r="CU212" t="s">
        <v>313</v>
      </c>
      <c r="CV212" t="s">
        <v>314</v>
      </c>
      <c r="CW212" t="s">
        <v>315</v>
      </c>
      <c r="CX212" t="s">
        <v>316</v>
      </c>
      <c r="CZ212" t="s">
        <v>289</v>
      </c>
      <c r="DA212" t="s">
        <v>289</v>
      </c>
      <c r="DB212" t="s">
        <v>289</v>
      </c>
      <c r="DC212" t="s">
        <v>289</v>
      </c>
      <c r="DI212" t="s">
        <v>289</v>
      </c>
      <c r="DL212" t="s">
        <v>289</v>
      </c>
      <c r="DM212" t="s">
        <v>498</v>
      </c>
      <c r="DN212" t="s">
        <v>304</v>
      </c>
      <c r="DS212" t="s">
        <v>289</v>
      </c>
      <c r="DT212" t="s">
        <v>289</v>
      </c>
      <c r="DU212" t="s">
        <v>318</v>
      </c>
      <c r="DV212" t="s">
        <v>289</v>
      </c>
      <c r="DX212" t="s">
        <v>319</v>
      </c>
      <c r="EA212" t="s">
        <v>294</v>
      </c>
    </row>
    <row r="213" spans="1:231" x14ac:dyDescent="0.25">
      <c r="A213">
        <v>25903175</v>
      </c>
      <c r="B213">
        <v>157428</v>
      </c>
      <c r="C213" t="str">
        <f>"121220600499"</f>
        <v>121220600499</v>
      </c>
      <c r="D213" t="s">
        <v>1006</v>
      </c>
      <c r="E213" t="s">
        <v>1007</v>
      </c>
      <c r="F213" t="s">
        <v>1008</v>
      </c>
      <c r="G213" s="1">
        <v>41263</v>
      </c>
      <c r="I213" t="s">
        <v>286</v>
      </c>
      <c r="J213" t="s">
        <v>287</v>
      </c>
      <c r="K213" t="s">
        <v>288</v>
      </c>
      <c r="Q213" t="s">
        <v>289</v>
      </c>
      <c r="R213" t="str">
        <f>"КАЗАХСТАН, АКМОЛИНСКАЯ, ЗЕРЕНДИНСКИЙ РАЙОН, Байтерекский, Байтерек, 5, 1"</f>
        <v>КАЗАХСТАН, АКМОЛИНСКАЯ, ЗЕРЕНДИНСКИЙ РАЙОН, Байтерекский, Байтерек, 5, 1</v>
      </c>
      <c r="S213" t="str">
        <f>"ҚАЗАҚСТАН, АҚМОЛА, ЗЕРЕНДІ АУДАНЫ, Байтерекский, Байтерек, 5, 1"</f>
        <v>ҚАЗАҚСТАН, АҚМОЛА, ЗЕРЕНДІ АУДАНЫ, Байтерекский, Байтерек, 5, 1</v>
      </c>
      <c r="T213" t="str">
        <f>"Байтерекский, Байтерек, 5, 1"</f>
        <v>Байтерекский, Байтерек, 5, 1</v>
      </c>
      <c r="U213" t="str">
        <f>"Байтерекский, Байтерек, 5, 1"</f>
        <v>Байтерекский, Байтерек, 5, 1</v>
      </c>
      <c r="AC213" t="str">
        <f>"2023-09-01T00:00:00"</f>
        <v>2023-09-01T00:00:00</v>
      </c>
      <c r="AD213" t="str">
        <f>"1"</f>
        <v>1</v>
      </c>
      <c r="AE213" t="str">
        <f>"2024-09-01T22:37:51"</f>
        <v>2024-09-01T22:37:51</v>
      </c>
      <c r="AF213" t="str">
        <f>"2025-05-25T22:37:51"</f>
        <v>2025-05-25T22:37:51</v>
      </c>
      <c r="AG213" t="s">
        <v>290</v>
      </c>
      <c r="AI213" t="s">
        <v>373</v>
      </c>
      <c r="AK213" t="s">
        <v>465</v>
      </c>
      <c r="AP213" t="s">
        <v>293</v>
      </c>
      <c r="AT213" t="s">
        <v>294</v>
      </c>
      <c r="AU213" t="s">
        <v>295</v>
      </c>
      <c r="AW213" t="s">
        <v>296</v>
      </c>
      <c r="AX213">
        <v>2</v>
      </c>
      <c r="AY213" t="s">
        <v>297</v>
      </c>
      <c r="AZ213" t="s">
        <v>298</v>
      </c>
      <c r="BA213" t="s">
        <v>299</v>
      </c>
      <c r="BF213" t="s">
        <v>294</v>
      </c>
      <c r="BG213" t="s">
        <v>300</v>
      </c>
      <c r="BI213" t="s">
        <v>298</v>
      </c>
      <c r="BR213" t="s">
        <v>289</v>
      </c>
      <c r="BS213" t="s">
        <v>433</v>
      </c>
      <c r="BT213" t="s">
        <v>434</v>
      </c>
      <c r="BU213" t="s">
        <v>303</v>
      </c>
      <c r="BV213" t="s">
        <v>304</v>
      </c>
      <c r="BX213" t="s">
        <v>305</v>
      </c>
      <c r="BY213" t="s">
        <v>298</v>
      </c>
      <c r="BZ213" t="s">
        <v>920</v>
      </c>
      <c r="CA213" t="s">
        <v>914</v>
      </c>
      <c r="CC213" t="s">
        <v>308</v>
      </c>
      <c r="CD213" t="s">
        <v>309</v>
      </c>
      <c r="CE213" t="s">
        <v>294</v>
      </c>
      <c r="CK213" t="s">
        <v>335</v>
      </c>
      <c r="CM213" t="s">
        <v>698</v>
      </c>
      <c r="CN213" t="s">
        <v>328</v>
      </c>
      <c r="CO213" t="s">
        <v>312</v>
      </c>
      <c r="CT213" t="s">
        <v>294</v>
      </c>
      <c r="CU213" t="s">
        <v>313</v>
      </c>
      <c r="CV213" t="s">
        <v>314</v>
      </c>
      <c r="CW213" t="s">
        <v>315</v>
      </c>
      <c r="CX213" t="s">
        <v>316</v>
      </c>
      <c r="CZ213" t="s">
        <v>289</v>
      </c>
      <c r="DA213" t="s">
        <v>289</v>
      </c>
      <c r="DB213" t="s">
        <v>289</v>
      </c>
      <c r="DC213" t="s">
        <v>289</v>
      </c>
      <c r="DI213" t="s">
        <v>289</v>
      </c>
      <c r="DL213" t="s">
        <v>289</v>
      </c>
      <c r="DM213" t="s">
        <v>317</v>
      </c>
      <c r="DS213" t="s">
        <v>289</v>
      </c>
      <c r="DT213" t="s">
        <v>289</v>
      </c>
      <c r="DU213" t="s">
        <v>318</v>
      </c>
      <c r="DV213" t="s">
        <v>289</v>
      </c>
      <c r="DX213" t="s">
        <v>319</v>
      </c>
      <c r="EA213" t="s">
        <v>289</v>
      </c>
    </row>
    <row r="214" spans="1:231" x14ac:dyDescent="0.25">
      <c r="A214">
        <v>25937670</v>
      </c>
      <c r="B214">
        <v>147268</v>
      </c>
      <c r="C214" t="str">
        <f>"120220502723"</f>
        <v>120220502723</v>
      </c>
      <c r="D214" t="s">
        <v>1009</v>
      </c>
      <c r="E214" t="s">
        <v>1010</v>
      </c>
      <c r="F214" t="s">
        <v>1011</v>
      </c>
      <c r="G214" s="1">
        <v>40959</v>
      </c>
      <c r="I214" t="s">
        <v>353</v>
      </c>
      <c r="J214" t="s">
        <v>287</v>
      </c>
      <c r="K214" t="s">
        <v>288</v>
      </c>
      <c r="Q214" t="s">
        <v>289</v>
      </c>
      <c r="R214" t="str">
        <f>"КАЗАХСТАН, АКМОЛИНСКАЯ, КОКШЕТАУ, 15, 28"</f>
        <v>КАЗАХСТАН, АКМОЛИНСКАЯ, КОКШЕТАУ, 15, 28</v>
      </c>
      <c r="S214" t="str">
        <f>"ҚАЗАҚСТАН, АҚМОЛА, КӨКШЕТАУ, 15, 28"</f>
        <v>ҚАЗАҚСТАН, АҚМОЛА, КӨКШЕТАУ, 15, 28</v>
      </c>
      <c r="T214" t="str">
        <f>"15, 28"</f>
        <v>15, 28</v>
      </c>
      <c r="U214" t="str">
        <f>"15, 28"</f>
        <v>15, 28</v>
      </c>
      <c r="AC214" t="str">
        <f>"2023-08-05T00:00:00"</f>
        <v>2023-08-05T00:00:00</v>
      </c>
      <c r="AD214" t="str">
        <f>"6"</f>
        <v>6</v>
      </c>
      <c r="AE214" t="str">
        <f>"2024-09-01T23:00:08"</f>
        <v>2024-09-01T23:00:08</v>
      </c>
      <c r="AF214" t="str">
        <f>"2025-05-25T23:00:08"</f>
        <v>2025-05-25T23:00:08</v>
      </c>
      <c r="AG214" t="s">
        <v>290</v>
      </c>
      <c r="AI214" t="s">
        <v>373</v>
      </c>
      <c r="AK214" t="s">
        <v>465</v>
      </c>
      <c r="AP214" t="s">
        <v>293</v>
      </c>
      <c r="AT214" t="s">
        <v>294</v>
      </c>
      <c r="AU214" t="s">
        <v>295</v>
      </c>
      <c r="AW214" t="s">
        <v>296</v>
      </c>
      <c r="AX214">
        <v>2</v>
      </c>
      <c r="AY214" t="s">
        <v>297</v>
      </c>
      <c r="AZ214" t="s">
        <v>298</v>
      </c>
      <c r="BA214" t="s">
        <v>299</v>
      </c>
      <c r="BF214" t="s">
        <v>294</v>
      </c>
      <c r="BG214" t="s">
        <v>300</v>
      </c>
      <c r="BI214" t="s">
        <v>298</v>
      </c>
      <c r="BR214" t="s">
        <v>289</v>
      </c>
      <c r="BS214" t="s">
        <v>301</v>
      </c>
      <c r="BT214" t="s">
        <v>302</v>
      </c>
      <c r="BU214" t="s">
        <v>303</v>
      </c>
      <c r="BV214" t="s">
        <v>304</v>
      </c>
      <c r="BX214" t="s">
        <v>305</v>
      </c>
      <c r="BY214" t="s">
        <v>298</v>
      </c>
      <c r="BZ214" t="s">
        <v>920</v>
      </c>
      <c r="CA214" t="s">
        <v>914</v>
      </c>
      <c r="CC214" t="s">
        <v>308</v>
      </c>
      <c r="CD214" t="s">
        <v>309</v>
      </c>
      <c r="CE214" t="s">
        <v>294</v>
      </c>
      <c r="CK214" t="s">
        <v>471</v>
      </c>
      <c r="CL214" t="s">
        <v>328</v>
      </c>
      <c r="CM214" t="s">
        <v>298</v>
      </c>
      <c r="CO214" t="s">
        <v>312</v>
      </c>
      <c r="CT214" t="s">
        <v>294</v>
      </c>
      <c r="CU214" t="s">
        <v>313</v>
      </c>
      <c r="CV214" t="s">
        <v>314</v>
      </c>
      <c r="CW214" t="s">
        <v>315</v>
      </c>
      <c r="CX214" t="s">
        <v>316</v>
      </c>
      <c r="CZ214" t="s">
        <v>289</v>
      </c>
      <c r="DA214" t="s">
        <v>289</v>
      </c>
      <c r="DB214" t="s">
        <v>289</v>
      </c>
      <c r="DC214" t="s">
        <v>289</v>
      </c>
      <c r="DI214" t="s">
        <v>289</v>
      </c>
      <c r="DL214" t="s">
        <v>723</v>
      </c>
      <c r="DM214" t="s">
        <v>724</v>
      </c>
      <c r="DN214" t="s">
        <v>304</v>
      </c>
      <c r="DO214" t="str">
        <f>"заикание средней степени тяжести, ЗПР №2036"</f>
        <v>заикание средней степени тяжести, ЗПР №2036</v>
      </c>
      <c r="DQ214" t="str">
        <f>"2023-10-18T00:00:00"</f>
        <v>2023-10-18T00:00:00</v>
      </c>
      <c r="DS214" t="s">
        <v>289</v>
      </c>
      <c r="DT214" t="s">
        <v>289</v>
      </c>
      <c r="DU214" t="s">
        <v>318</v>
      </c>
      <c r="DV214" t="s">
        <v>289</v>
      </c>
      <c r="DX214" t="s">
        <v>319</v>
      </c>
      <c r="EA214" t="s">
        <v>289</v>
      </c>
    </row>
    <row r="215" spans="1:231" x14ac:dyDescent="0.25">
      <c r="A215">
        <v>26103658</v>
      </c>
      <c r="B215">
        <v>10086713</v>
      </c>
      <c r="C215" t="str">
        <f>"180503502851"</f>
        <v>180503502851</v>
      </c>
      <c r="D215" t="s">
        <v>707</v>
      </c>
      <c r="E215" t="s">
        <v>1012</v>
      </c>
      <c r="F215" t="s">
        <v>1013</v>
      </c>
      <c r="G215" s="1">
        <v>43223</v>
      </c>
      <c r="I215" t="s">
        <v>353</v>
      </c>
      <c r="J215" t="s">
        <v>287</v>
      </c>
      <c r="K215" t="s">
        <v>288</v>
      </c>
      <c r="Q215" t="s">
        <v>289</v>
      </c>
      <c r="R215" t="str">
        <f>"КАЗАХСТАН, АКМОЛИНСКАЯ, ЗЕРЕНДИНСКИЙ РАЙОН, ЗЕРЕНДІ"</f>
        <v>КАЗАХСТАН, АКМОЛИНСКАЯ, ЗЕРЕНДИНСКИЙ РАЙОН, ЗЕРЕНДІ</v>
      </c>
      <c r="S215" t="str">
        <f>"ҚАЗАҚСТАН, АҚМОЛА, ЗЕРЕНДІ АУДАНЫ, ЗЕРЕНДІ"</f>
        <v>ҚАЗАҚСТАН, АҚМОЛА, ЗЕРЕНДІ АУДАНЫ, ЗЕРЕНДІ</v>
      </c>
      <c r="T215" t="str">
        <f>"ЗЕРЕНДІ"</f>
        <v>ЗЕРЕНДІ</v>
      </c>
      <c r="U215" t="str">
        <f>"ЗЕРЕНДІ"</f>
        <v>ЗЕРЕНДІ</v>
      </c>
      <c r="AC215" t="str">
        <f>"2023-08-25T00:00:00"</f>
        <v>2023-08-25T00:00:00</v>
      </c>
      <c r="AD215" t="str">
        <f>"45"</f>
        <v>45</v>
      </c>
      <c r="AE215" t="str">
        <f>"2024-09-01T11:52:57"</f>
        <v>2024-09-01T11:52:57</v>
      </c>
      <c r="AF215" t="str">
        <f>"2025-05-25T11:52:57"</f>
        <v>2025-05-25T11:52:57</v>
      </c>
      <c r="AG215" t="s">
        <v>290</v>
      </c>
      <c r="AI215" t="s">
        <v>373</v>
      </c>
      <c r="AK215" t="s">
        <v>895</v>
      </c>
      <c r="AL215" t="s">
        <v>304</v>
      </c>
      <c r="AP215" t="s">
        <v>293</v>
      </c>
      <c r="AQ215" t="s">
        <v>289</v>
      </c>
      <c r="AT215" t="s">
        <v>294</v>
      </c>
      <c r="AU215" t="s">
        <v>295</v>
      </c>
      <c r="AW215" t="s">
        <v>296</v>
      </c>
      <c r="AX215">
        <v>1</v>
      </c>
      <c r="AY215" t="s">
        <v>297</v>
      </c>
      <c r="AZ215" t="s">
        <v>298</v>
      </c>
      <c r="BA215" t="s">
        <v>299</v>
      </c>
      <c r="BF215" t="s">
        <v>294</v>
      </c>
      <c r="BG215" t="s">
        <v>300</v>
      </c>
      <c r="BI215" t="s">
        <v>298</v>
      </c>
      <c r="BR215" t="s">
        <v>289</v>
      </c>
      <c r="BS215" t="s">
        <v>301</v>
      </c>
      <c r="BT215" t="s">
        <v>302</v>
      </c>
      <c r="BU215" t="s">
        <v>303</v>
      </c>
      <c r="BV215" t="s">
        <v>365</v>
      </c>
      <c r="BX215" t="s">
        <v>867</v>
      </c>
      <c r="BY215" t="s">
        <v>298</v>
      </c>
      <c r="CC215" t="s">
        <v>309</v>
      </c>
      <c r="CE215" t="s">
        <v>289</v>
      </c>
      <c r="CJ215" t="s">
        <v>704</v>
      </c>
      <c r="CK215" t="s">
        <v>807</v>
      </c>
      <c r="CL215" t="s">
        <v>311</v>
      </c>
      <c r="CM215" t="s">
        <v>298</v>
      </c>
      <c r="CO215" t="s">
        <v>312</v>
      </c>
      <c r="CT215" t="s">
        <v>289</v>
      </c>
      <c r="CX215" t="s">
        <v>316</v>
      </c>
      <c r="CZ215" t="s">
        <v>289</v>
      </c>
      <c r="DA215" t="s">
        <v>289</v>
      </c>
      <c r="DB215" t="s">
        <v>289</v>
      </c>
      <c r="DC215" t="s">
        <v>289</v>
      </c>
      <c r="DI215" t="s">
        <v>289</v>
      </c>
      <c r="DL215" t="s">
        <v>289</v>
      </c>
      <c r="DM215" t="s">
        <v>317</v>
      </c>
      <c r="DS215" t="s">
        <v>289</v>
      </c>
      <c r="DT215" t="s">
        <v>289</v>
      </c>
      <c r="DU215" t="s">
        <v>318</v>
      </c>
      <c r="DV215" t="s">
        <v>289</v>
      </c>
      <c r="DX215" t="s">
        <v>319</v>
      </c>
      <c r="EA215" t="s">
        <v>289</v>
      </c>
      <c r="HW215" t="s">
        <v>294</v>
      </c>
    </row>
    <row r="216" spans="1:231" x14ac:dyDescent="0.25">
      <c r="A216">
        <v>26104792</v>
      </c>
      <c r="B216">
        <v>10061721</v>
      </c>
      <c r="C216" t="str">
        <f>"180530501137"</f>
        <v>180530501137</v>
      </c>
      <c r="D216" t="s">
        <v>810</v>
      </c>
      <c r="E216" t="s">
        <v>889</v>
      </c>
      <c r="F216" t="s">
        <v>1014</v>
      </c>
      <c r="G216" s="1">
        <v>43250</v>
      </c>
      <c r="I216" t="s">
        <v>353</v>
      </c>
      <c r="J216" t="s">
        <v>287</v>
      </c>
      <c r="K216" t="s">
        <v>288</v>
      </c>
      <c r="Q216" t="s">
        <v>289</v>
      </c>
      <c r="R216" t="str">
        <f>"КАЗАХСТАН, АКМОЛИНСКАЯ, ЗЕРЕНДИНСКИЙ РАЙОН, Зерендинский, Зеренда, 1, 2"</f>
        <v>КАЗАХСТАН, АКМОЛИНСКАЯ, ЗЕРЕНДИНСКИЙ РАЙОН, Зерендинский, Зеренда, 1, 2</v>
      </c>
      <c r="S216" t="str">
        <f>"ҚАЗАҚСТАН, АҚМОЛА, ЗЕРЕНДІ АУДАНЫ, Зерендинский, Зеренда, 1, 2"</f>
        <v>ҚАЗАҚСТАН, АҚМОЛА, ЗЕРЕНДІ АУДАНЫ, Зерендинский, Зеренда, 1, 2</v>
      </c>
      <c r="T216" t="str">
        <f>"Зерендинский, Зеренда, 1, 2"</f>
        <v>Зерендинский, Зеренда, 1, 2</v>
      </c>
      <c r="U216" t="str">
        <f>"Зерендинский, Зеренда, 1, 2"</f>
        <v>Зерендинский, Зеренда, 1, 2</v>
      </c>
      <c r="AC216" t="str">
        <f>"2023-08-25T00:00:00"</f>
        <v>2023-08-25T00:00:00</v>
      </c>
      <c r="AD216" t="str">
        <f>"45"</f>
        <v>45</v>
      </c>
      <c r="AE216" t="str">
        <f>"2024-09-01T11:54:37"</f>
        <v>2024-09-01T11:54:37</v>
      </c>
      <c r="AF216" t="str">
        <f>"2025-05-25T11:54:37"</f>
        <v>2025-05-25T11:54:37</v>
      </c>
      <c r="AG216" t="s">
        <v>290</v>
      </c>
      <c r="AI216" t="s">
        <v>373</v>
      </c>
      <c r="AK216" t="s">
        <v>895</v>
      </c>
      <c r="AL216" t="s">
        <v>304</v>
      </c>
      <c r="AP216" t="s">
        <v>293</v>
      </c>
      <c r="AQ216" t="s">
        <v>289</v>
      </c>
      <c r="AT216" t="s">
        <v>294</v>
      </c>
      <c r="AU216" t="s">
        <v>295</v>
      </c>
      <c r="AW216" t="s">
        <v>296</v>
      </c>
      <c r="AX216">
        <v>1</v>
      </c>
      <c r="AY216" t="s">
        <v>297</v>
      </c>
      <c r="AZ216" t="s">
        <v>298</v>
      </c>
      <c r="BA216" t="s">
        <v>299</v>
      </c>
      <c r="BF216" t="s">
        <v>294</v>
      </c>
      <c r="BG216" t="s">
        <v>300</v>
      </c>
      <c r="BI216" t="s">
        <v>298</v>
      </c>
      <c r="BR216" t="s">
        <v>289</v>
      </c>
      <c r="BS216" t="s">
        <v>301</v>
      </c>
      <c r="BT216" t="s">
        <v>1015</v>
      </c>
      <c r="BU216" t="s">
        <v>303</v>
      </c>
      <c r="BV216" t="s">
        <v>365</v>
      </c>
      <c r="BX216" t="s">
        <v>867</v>
      </c>
      <c r="BY216" t="s">
        <v>298</v>
      </c>
      <c r="CC216" t="s">
        <v>309</v>
      </c>
      <c r="CE216" t="s">
        <v>289</v>
      </c>
      <c r="CJ216" t="s">
        <v>704</v>
      </c>
      <c r="CK216" t="s">
        <v>807</v>
      </c>
      <c r="CL216" t="s">
        <v>311</v>
      </c>
      <c r="CM216" t="s">
        <v>467</v>
      </c>
      <c r="CN216" t="s">
        <v>328</v>
      </c>
      <c r="CO216" t="s">
        <v>312</v>
      </c>
      <c r="CT216" t="s">
        <v>289</v>
      </c>
      <c r="CX216" t="s">
        <v>316</v>
      </c>
      <c r="CZ216" t="s">
        <v>289</v>
      </c>
      <c r="DA216" t="s">
        <v>289</v>
      </c>
      <c r="DB216" t="s">
        <v>289</v>
      </c>
      <c r="DC216" t="s">
        <v>289</v>
      </c>
      <c r="DI216" t="s">
        <v>289</v>
      </c>
      <c r="DL216" t="s">
        <v>289</v>
      </c>
      <c r="DM216" t="s">
        <v>815</v>
      </c>
      <c r="DN216" t="s">
        <v>304</v>
      </c>
      <c r="DO216" t="str">
        <f>"2123"</f>
        <v>2123</v>
      </c>
      <c r="DQ216" t="str">
        <f>"2023-10-18T00:00:00"</f>
        <v>2023-10-18T00:00:00</v>
      </c>
      <c r="DS216" t="s">
        <v>289</v>
      </c>
      <c r="DT216" t="s">
        <v>289</v>
      </c>
      <c r="DU216" t="s">
        <v>318</v>
      </c>
      <c r="DV216" t="s">
        <v>289</v>
      </c>
      <c r="DX216" t="s">
        <v>319</v>
      </c>
      <c r="EA216" t="s">
        <v>289</v>
      </c>
      <c r="HW216" t="s">
        <v>294</v>
      </c>
    </row>
    <row r="217" spans="1:231" x14ac:dyDescent="0.25">
      <c r="A217">
        <v>26105207</v>
      </c>
      <c r="B217">
        <v>9025499</v>
      </c>
      <c r="C217" t="str">
        <f>"171123604176"</f>
        <v>171123604176</v>
      </c>
      <c r="D217" t="s">
        <v>1016</v>
      </c>
      <c r="E217" t="s">
        <v>446</v>
      </c>
      <c r="F217" t="s">
        <v>1017</v>
      </c>
      <c r="G217" s="1">
        <v>43062</v>
      </c>
      <c r="I217" t="s">
        <v>286</v>
      </c>
      <c r="J217" t="s">
        <v>287</v>
      </c>
      <c r="K217" t="s">
        <v>288</v>
      </c>
      <c r="Q217" t="s">
        <v>289</v>
      </c>
      <c r="R217" t="str">
        <f>"КАЗАХСТАН, АКМОЛИНСКАЯ, ЗЕРЕНДИНСКИЙ РАЙОН, ҚАРСАҚ, 7, 2"</f>
        <v>КАЗАХСТАН, АКМОЛИНСКАЯ, ЗЕРЕНДИНСКИЙ РАЙОН, ҚАРСАҚ, 7, 2</v>
      </c>
      <c r="S217" t="str">
        <f>"ҚАЗАҚСТАН, АҚМОЛА, ЗЕРЕНДІ АУДАНЫ, ҚАРСАҚ, 7, 2"</f>
        <v>ҚАЗАҚСТАН, АҚМОЛА, ЗЕРЕНДІ АУДАНЫ, ҚАРСАҚ, 7, 2</v>
      </c>
      <c r="T217" t="str">
        <f>"ҚАРСАҚ, 7, 2"</f>
        <v>ҚАРСАҚ, 7, 2</v>
      </c>
      <c r="U217" t="str">
        <f>"ҚАРСАҚ, 7, 2"</f>
        <v>ҚАРСАҚ, 7, 2</v>
      </c>
      <c r="AC217" t="str">
        <f>"2023-08-25T00:00:00"</f>
        <v>2023-08-25T00:00:00</v>
      </c>
      <c r="AD217" t="str">
        <f>"45"</f>
        <v>45</v>
      </c>
      <c r="AE217" t="str">
        <f>"2024-09-01T11:55:29"</f>
        <v>2024-09-01T11:55:29</v>
      </c>
      <c r="AF217" t="str">
        <f>"2025-05-25T11:55:29"</f>
        <v>2025-05-25T11:55:29</v>
      </c>
      <c r="AG217" t="s">
        <v>290</v>
      </c>
      <c r="AI217" t="s">
        <v>373</v>
      </c>
      <c r="AK217" t="s">
        <v>895</v>
      </c>
      <c r="AL217" t="s">
        <v>304</v>
      </c>
      <c r="AP217" t="s">
        <v>293</v>
      </c>
      <c r="AQ217" t="s">
        <v>289</v>
      </c>
      <c r="AT217" t="s">
        <v>294</v>
      </c>
      <c r="AU217" t="s">
        <v>295</v>
      </c>
      <c r="AW217" t="s">
        <v>296</v>
      </c>
      <c r="AX217">
        <v>1</v>
      </c>
      <c r="AY217" t="s">
        <v>297</v>
      </c>
      <c r="AZ217" t="s">
        <v>298</v>
      </c>
      <c r="BA217" t="s">
        <v>299</v>
      </c>
      <c r="BF217" t="s">
        <v>294</v>
      </c>
      <c r="BG217" t="s">
        <v>300</v>
      </c>
      <c r="BI217" t="s">
        <v>298</v>
      </c>
      <c r="BR217" t="s">
        <v>289</v>
      </c>
      <c r="BS217" t="s">
        <v>301</v>
      </c>
      <c r="BT217" t="s">
        <v>302</v>
      </c>
      <c r="BU217" t="s">
        <v>303</v>
      </c>
      <c r="BV217" t="s">
        <v>365</v>
      </c>
      <c r="BX217" t="s">
        <v>867</v>
      </c>
      <c r="BY217" t="s">
        <v>298</v>
      </c>
      <c r="CC217" t="s">
        <v>309</v>
      </c>
      <c r="CE217" t="s">
        <v>289</v>
      </c>
      <c r="CJ217" t="s">
        <v>704</v>
      </c>
      <c r="CK217" t="s">
        <v>807</v>
      </c>
      <c r="CL217" t="s">
        <v>311</v>
      </c>
      <c r="CM217" t="s">
        <v>298</v>
      </c>
      <c r="CO217" t="s">
        <v>312</v>
      </c>
      <c r="CT217" t="s">
        <v>289</v>
      </c>
      <c r="CX217" t="s">
        <v>316</v>
      </c>
      <c r="CZ217" t="s">
        <v>289</v>
      </c>
      <c r="DA217" t="s">
        <v>289</v>
      </c>
      <c r="DB217" t="s">
        <v>289</v>
      </c>
      <c r="DC217" t="s">
        <v>289</v>
      </c>
      <c r="DI217" t="s">
        <v>289</v>
      </c>
      <c r="DL217" t="s">
        <v>289</v>
      </c>
      <c r="DM217" t="s">
        <v>317</v>
      </c>
      <c r="DS217" t="s">
        <v>289</v>
      </c>
      <c r="DT217" t="s">
        <v>289</v>
      </c>
      <c r="DU217" t="s">
        <v>318</v>
      </c>
      <c r="DV217" t="s">
        <v>289</v>
      </c>
      <c r="DW217" t="s">
        <v>601</v>
      </c>
      <c r="DX217" t="s">
        <v>368</v>
      </c>
      <c r="DY217" t="s">
        <v>472</v>
      </c>
      <c r="DZ217" t="s">
        <v>473</v>
      </c>
      <c r="EA217" t="s">
        <v>294</v>
      </c>
      <c r="HW217" t="s">
        <v>294</v>
      </c>
    </row>
    <row r="218" spans="1:231" x14ac:dyDescent="0.25">
      <c r="A218">
        <v>26105485</v>
      </c>
      <c r="B218">
        <v>9708998</v>
      </c>
      <c r="C218" t="str">
        <f>"170627501648"</f>
        <v>170627501648</v>
      </c>
      <c r="D218" t="s">
        <v>590</v>
      </c>
      <c r="E218" t="s">
        <v>583</v>
      </c>
      <c r="F218" t="s">
        <v>1018</v>
      </c>
      <c r="G218" s="1">
        <v>42913</v>
      </c>
      <c r="I218" t="s">
        <v>353</v>
      </c>
      <c r="J218" t="s">
        <v>287</v>
      </c>
      <c r="K218" t="s">
        <v>288</v>
      </c>
      <c r="Q218" t="s">
        <v>289</v>
      </c>
      <c r="R218" t="str">
        <f>"КАЗАХСТАН, АКМОЛИНСКАЯ, КОКШЕТАУ, 1А, 44"</f>
        <v>КАЗАХСТАН, АКМОЛИНСКАЯ, КОКШЕТАУ, 1А, 44</v>
      </c>
      <c r="S218" t="str">
        <f>"ҚАЗАҚСТАН, АҚМОЛА, КӨКШЕТАУ, 1А, 44"</f>
        <v>ҚАЗАҚСТАН, АҚМОЛА, КӨКШЕТАУ, 1А, 44</v>
      </c>
      <c r="T218" t="str">
        <f>"1А, 44"</f>
        <v>1А, 44</v>
      </c>
      <c r="U218" t="str">
        <f>"1А, 44"</f>
        <v>1А, 44</v>
      </c>
      <c r="AC218" t="str">
        <f>"2023-08-25T00:00:00"</f>
        <v>2023-08-25T00:00:00</v>
      </c>
      <c r="AD218" t="str">
        <f>"45"</f>
        <v>45</v>
      </c>
      <c r="AE218" t="str">
        <f>"2024-09-01T11:53:41"</f>
        <v>2024-09-01T11:53:41</v>
      </c>
      <c r="AF218" t="str">
        <f>"2025-05-25T11:53:41"</f>
        <v>2025-05-25T11:53:41</v>
      </c>
      <c r="AG218" t="s">
        <v>290</v>
      </c>
      <c r="AI218" t="s">
        <v>373</v>
      </c>
      <c r="AK218" t="s">
        <v>895</v>
      </c>
      <c r="AL218" t="s">
        <v>304</v>
      </c>
      <c r="AP218" t="s">
        <v>293</v>
      </c>
      <c r="AQ218" t="s">
        <v>289</v>
      </c>
      <c r="AT218" t="s">
        <v>294</v>
      </c>
      <c r="AU218" t="s">
        <v>295</v>
      </c>
      <c r="AW218" t="s">
        <v>296</v>
      </c>
      <c r="AX218">
        <v>1</v>
      </c>
      <c r="AY218" t="s">
        <v>297</v>
      </c>
      <c r="AZ218" t="s">
        <v>298</v>
      </c>
      <c r="BA218" t="s">
        <v>299</v>
      </c>
      <c r="BF218" t="s">
        <v>294</v>
      </c>
      <c r="BG218" t="s">
        <v>300</v>
      </c>
      <c r="BI218" t="s">
        <v>298</v>
      </c>
      <c r="BR218" t="s">
        <v>289</v>
      </c>
      <c r="BS218" t="s">
        <v>301</v>
      </c>
      <c r="BT218" t="s">
        <v>302</v>
      </c>
      <c r="BU218" t="s">
        <v>303</v>
      </c>
      <c r="BV218" t="s">
        <v>365</v>
      </c>
      <c r="BX218" t="s">
        <v>867</v>
      </c>
      <c r="BY218" t="s">
        <v>298</v>
      </c>
      <c r="CC218" t="s">
        <v>309</v>
      </c>
      <c r="CE218" t="s">
        <v>289</v>
      </c>
      <c r="CJ218" t="s">
        <v>704</v>
      </c>
      <c r="CK218" t="s">
        <v>807</v>
      </c>
      <c r="CL218" t="s">
        <v>311</v>
      </c>
      <c r="CM218" t="s">
        <v>388</v>
      </c>
      <c r="CN218" t="s">
        <v>328</v>
      </c>
      <c r="CO218" t="s">
        <v>312</v>
      </c>
      <c r="CT218" t="s">
        <v>289</v>
      </c>
      <c r="CX218" t="s">
        <v>316</v>
      </c>
      <c r="CZ218" t="s">
        <v>289</v>
      </c>
      <c r="DA218" t="s">
        <v>289</v>
      </c>
      <c r="DB218" t="s">
        <v>289</v>
      </c>
      <c r="DC218" t="s">
        <v>289</v>
      </c>
      <c r="DI218" t="s">
        <v>289</v>
      </c>
      <c r="DL218" t="s">
        <v>289</v>
      </c>
      <c r="DM218" t="s">
        <v>317</v>
      </c>
      <c r="DS218" t="s">
        <v>289</v>
      </c>
      <c r="DT218" t="s">
        <v>289</v>
      </c>
      <c r="DU218" t="s">
        <v>318</v>
      </c>
      <c r="DV218" t="s">
        <v>289</v>
      </c>
      <c r="DX218" t="s">
        <v>319</v>
      </c>
      <c r="EA218" t="s">
        <v>289</v>
      </c>
      <c r="HW218" t="s">
        <v>294</v>
      </c>
    </row>
    <row r="219" spans="1:231" x14ac:dyDescent="0.25">
      <c r="A219">
        <v>26106255</v>
      </c>
      <c r="B219">
        <v>13413474</v>
      </c>
      <c r="C219" t="str">
        <f>"170413503096"</f>
        <v>170413503096</v>
      </c>
      <c r="D219" t="s">
        <v>1019</v>
      </c>
      <c r="E219" t="s">
        <v>1020</v>
      </c>
      <c r="F219" t="s">
        <v>1021</v>
      </c>
      <c r="G219" s="1">
        <v>42838</v>
      </c>
      <c r="I219" t="s">
        <v>353</v>
      </c>
      <c r="J219" t="s">
        <v>287</v>
      </c>
      <c r="K219" t="s">
        <v>288</v>
      </c>
      <c r="Q219" t="s">
        <v>289</v>
      </c>
      <c r="R219" t="str">
        <f>"КАЗАХСТАН, АКМОЛИНСКАЯ, ЗЕРЕНДИНСКИЙ РАЙОН, Зерендинский, Зеренда, 107"</f>
        <v>КАЗАХСТАН, АКМОЛИНСКАЯ, ЗЕРЕНДИНСКИЙ РАЙОН, Зерендинский, Зеренда, 107</v>
      </c>
      <c r="S219" t="str">
        <f>"ҚАЗАҚСТАН, АҚМОЛА, ЗЕРЕНДІ АУДАНЫ, Зерендинский, Зеренда, 107"</f>
        <v>ҚАЗАҚСТАН, АҚМОЛА, ЗЕРЕНДІ АУДАНЫ, Зерендинский, Зеренда, 107</v>
      </c>
      <c r="T219" t="str">
        <f>"Зерендинский, Зеренда, 107"</f>
        <v>Зерендинский, Зеренда, 107</v>
      </c>
      <c r="U219" t="str">
        <f>"Зерендинский, Зеренда, 107"</f>
        <v>Зерендинский, Зеренда, 107</v>
      </c>
      <c r="AC219" t="str">
        <f>"2023-08-25T00:00:00"</f>
        <v>2023-08-25T00:00:00</v>
      </c>
      <c r="AD219" t="str">
        <f>"45"</f>
        <v>45</v>
      </c>
      <c r="AE219" t="str">
        <f>"2024-09-01T11:54:31"</f>
        <v>2024-09-01T11:54:31</v>
      </c>
      <c r="AF219" t="str">
        <f>"2025-05-25T11:54:31"</f>
        <v>2025-05-25T11:54:31</v>
      </c>
      <c r="AG219" t="s">
        <v>290</v>
      </c>
      <c r="AI219" t="s">
        <v>476</v>
      </c>
      <c r="AK219" t="s">
        <v>895</v>
      </c>
      <c r="AL219" t="s">
        <v>304</v>
      </c>
      <c r="AP219" t="s">
        <v>293</v>
      </c>
      <c r="AQ219" t="s">
        <v>289</v>
      </c>
      <c r="AT219" t="s">
        <v>294</v>
      </c>
      <c r="AU219" t="s">
        <v>295</v>
      </c>
      <c r="AW219" t="s">
        <v>296</v>
      </c>
      <c r="AX219">
        <v>1</v>
      </c>
      <c r="AY219" t="s">
        <v>297</v>
      </c>
      <c r="AZ219" t="s">
        <v>298</v>
      </c>
      <c r="BA219" t="s">
        <v>299</v>
      </c>
      <c r="BF219" t="s">
        <v>294</v>
      </c>
      <c r="BG219" t="s">
        <v>300</v>
      </c>
      <c r="BI219" t="s">
        <v>298</v>
      </c>
      <c r="BR219" t="s">
        <v>289</v>
      </c>
      <c r="BS219" t="s">
        <v>301</v>
      </c>
      <c r="BT219" t="s">
        <v>302</v>
      </c>
      <c r="BU219" t="s">
        <v>303</v>
      </c>
      <c r="BV219" t="s">
        <v>365</v>
      </c>
      <c r="BX219" t="s">
        <v>867</v>
      </c>
      <c r="BY219" t="s">
        <v>298</v>
      </c>
      <c r="CC219" t="s">
        <v>309</v>
      </c>
      <c r="CE219" t="s">
        <v>289</v>
      </c>
      <c r="CJ219" t="s">
        <v>704</v>
      </c>
      <c r="CK219" t="s">
        <v>807</v>
      </c>
      <c r="CL219" t="s">
        <v>311</v>
      </c>
      <c r="CM219" t="s">
        <v>298</v>
      </c>
      <c r="CO219" t="s">
        <v>312</v>
      </c>
      <c r="CT219" t="s">
        <v>289</v>
      </c>
      <c r="CX219" t="s">
        <v>316</v>
      </c>
      <c r="CZ219" t="s">
        <v>289</v>
      </c>
      <c r="DA219" t="s">
        <v>289</v>
      </c>
      <c r="DB219" t="s">
        <v>289</v>
      </c>
      <c r="DC219" t="s">
        <v>289</v>
      </c>
      <c r="DI219" t="s">
        <v>289</v>
      </c>
      <c r="DL219" t="s">
        <v>289</v>
      </c>
      <c r="DM219" t="s">
        <v>317</v>
      </c>
      <c r="DS219" t="s">
        <v>289</v>
      </c>
      <c r="DT219" t="s">
        <v>289</v>
      </c>
      <c r="DU219" t="s">
        <v>318</v>
      </c>
      <c r="DV219" t="s">
        <v>289</v>
      </c>
      <c r="DX219" t="s">
        <v>319</v>
      </c>
      <c r="EA219" t="s">
        <v>289</v>
      </c>
      <c r="HW219" t="s">
        <v>294</v>
      </c>
    </row>
    <row r="220" spans="1:231" x14ac:dyDescent="0.25">
      <c r="A220">
        <v>26387700</v>
      </c>
      <c r="B220">
        <v>9911592</v>
      </c>
      <c r="C220" t="str">
        <f>"180129603192"</f>
        <v>180129603192</v>
      </c>
      <c r="D220" t="s">
        <v>1022</v>
      </c>
      <c r="E220" t="s">
        <v>640</v>
      </c>
      <c r="F220" t="s">
        <v>1023</v>
      </c>
      <c r="G220" s="1">
        <v>43129</v>
      </c>
      <c r="I220" t="s">
        <v>286</v>
      </c>
      <c r="J220" t="s">
        <v>287</v>
      </c>
      <c r="K220" t="s">
        <v>288</v>
      </c>
      <c r="Q220" t="s">
        <v>289</v>
      </c>
      <c r="R220" t="str">
        <f>"КАЗАХСТАН, АКМОЛИНСКАЯ, ЗЕРЕНДИНСКИЙ РАЙОН, Зерендинский, Зеренда, 23"</f>
        <v>КАЗАХСТАН, АКМОЛИНСКАЯ, ЗЕРЕНДИНСКИЙ РАЙОН, Зерендинский, Зеренда, 23</v>
      </c>
      <c r="S220" t="str">
        <f>"ҚАЗАҚСТАН, АҚМОЛА, ЗЕРЕНДІ АУДАНЫ, Зерендинский, Зеренда, 23"</f>
        <v>ҚАЗАҚСТАН, АҚМОЛА, ЗЕРЕНДІ АУДАНЫ, Зерендинский, Зеренда, 23</v>
      </c>
      <c r="T220" t="str">
        <f>"Зерендинский, Зеренда, 23"</f>
        <v>Зерендинский, Зеренда, 23</v>
      </c>
      <c r="U220" t="str">
        <f>"Зерендинский, Зеренда, 23"</f>
        <v>Зерендинский, Зеренда, 23</v>
      </c>
      <c r="AC220" t="str">
        <f>"2023-08-25T00:00:00"</f>
        <v>2023-08-25T00:00:00</v>
      </c>
      <c r="AD220" t="str">
        <f>"45"</f>
        <v>45</v>
      </c>
      <c r="AE220" t="str">
        <f>"2024-09-01T11:53:35"</f>
        <v>2024-09-01T11:53:35</v>
      </c>
      <c r="AF220" t="str">
        <f>"2025-05-25T11:53:35"</f>
        <v>2025-05-25T11:53:35</v>
      </c>
      <c r="AG220" t="s">
        <v>290</v>
      </c>
      <c r="AI220" t="s">
        <v>373</v>
      </c>
      <c r="AK220" t="s">
        <v>895</v>
      </c>
      <c r="AL220" t="s">
        <v>304</v>
      </c>
      <c r="AP220" t="s">
        <v>293</v>
      </c>
      <c r="AQ220" t="s">
        <v>289</v>
      </c>
      <c r="AT220" t="s">
        <v>294</v>
      </c>
      <c r="AU220" t="s">
        <v>295</v>
      </c>
      <c r="AW220" t="s">
        <v>296</v>
      </c>
      <c r="AX220">
        <v>1</v>
      </c>
      <c r="AY220" t="s">
        <v>297</v>
      </c>
      <c r="AZ220" t="s">
        <v>298</v>
      </c>
      <c r="BA220" t="s">
        <v>299</v>
      </c>
      <c r="BF220" t="s">
        <v>294</v>
      </c>
      <c r="BG220" t="s">
        <v>300</v>
      </c>
      <c r="BI220" t="s">
        <v>298</v>
      </c>
      <c r="BR220" t="s">
        <v>289</v>
      </c>
      <c r="BS220" t="s">
        <v>301</v>
      </c>
      <c r="BT220" t="s">
        <v>302</v>
      </c>
      <c r="BU220" t="s">
        <v>303</v>
      </c>
      <c r="BV220" t="s">
        <v>365</v>
      </c>
      <c r="BX220" t="s">
        <v>867</v>
      </c>
      <c r="BY220" t="s">
        <v>298</v>
      </c>
      <c r="CC220" t="s">
        <v>309</v>
      </c>
      <c r="CE220" t="s">
        <v>289</v>
      </c>
      <c r="CJ220" t="s">
        <v>704</v>
      </c>
      <c r="CK220" t="s">
        <v>807</v>
      </c>
      <c r="CL220" t="s">
        <v>311</v>
      </c>
      <c r="CM220" t="s">
        <v>298</v>
      </c>
      <c r="CO220" t="s">
        <v>312</v>
      </c>
      <c r="CT220" t="s">
        <v>289</v>
      </c>
      <c r="CX220" t="s">
        <v>316</v>
      </c>
      <c r="CZ220" t="s">
        <v>289</v>
      </c>
      <c r="DA220" t="s">
        <v>289</v>
      </c>
      <c r="DB220" t="s">
        <v>289</v>
      </c>
      <c r="DC220" t="s">
        <v>289</v>
      </c>
      <c r="DI220" t="s">
        <v>289</v>
      </c>
      <c r="DL220" t="s">
        <v>289</v>
      </c>
      <c r="DM220" t="s">
        <v>317</v>
      </c>
      <c r="DS220" t="s">
        <v>289</v>
      </c>
      <c r="DT220" t="s">
        <v>289</v>
      </c>
      <c r="DU220" t="s">
        <v>318</v>
      </c>
      <c r="DV220" t="s">
        <v>289</v>
      </c>
      <c r="DX220" t="s">
        <v>319</v>
      </c>
      <c r="EA220" t="s">
        <v>289</v>
      </c>
      <c r="HW220" t="s">
        <v>294</v>
      </c>
    </row>
    <row r="221" spans="1:231" x14ac:dyDescent="0.25">
      <c r="A221">
        <v>26429100</v>
      </c>
      <c r="B221">
        <v>51367</v>
      </c>
      <c r="C221" t="str">
        <f>"111209604886"</f>
        <v>111209604886</v>
      </c>
      <c r="D221" t="s">
        <v>1024</v>
      </c>
      <c r="E221" t="s">
        <v>1025</v>
      </c>
      <c r="F221" t="s">
        <v>838</v>
      </c>
      <c r="G221" s="1">
        <v>40886</v>
      </c>
      <c r="I221" t="s">
        <v>286</v>
      </c>
      <c r="J221" t="s">
        <v>287</v>
      </c>
      <c r="K221" t="s">
        <v>288</v>
      </c>
      <c r="Q221" t="s">
        <v>289</v>
      </c>
      <c r="R221" t="str">
        <f>"КАЗАХСТАН, АКМОЛИНСКАЯ, ЗЕРЕНДИНСКИЙ РАЙОН, Айдабол, 2, 2"</f>
        <v>КАЗАХСТАН, АКМОЛИНСКАЯ, ЗЕРЕНДИНСКИЙ РАЙОН, Айдабол, 2, 2</v>
      </c>
      <c r="S221" t="str">
        <f>"ҚАЗАҚСТАН, АҚМОЛА, ЗЕРЕНДІ АУДАНЫ, Айдабол, 2, 2"</f>
        <v>ҚАЗАҚСТАН, АҚМОЛА, ЗЕРЕНДІ АУДАНЫ, Айдабол, 2, 2</v>
      </c>
      <c r="T221" t="str">
        <f>"Айдабол, 2, 2"</f>
        <v>Айдабол, 2, 2</v>
      </c>
      <c r="U221" t="str">
        <f>"Айдабол, 2, 2"</f>
        <v>Айдабол, 2, 2</v>
      </c>
      <c r="AC221" t="str">
        <f>"2023-09-18T00:00:00"</f>
        <v>2023-09-18T00:00:00</v>
      </c>
      <c r="AD221" t="str">
        <f>"9"</f>
        <v>9</v>
      </c>
      <c r="AE221" t="str">
        <f>"2024-09-01T22:49:37"</f>
        <v>2024-09-01T22:49:37</v>
      </c>
      <c r="AF221" t="str">
        <f>"2025-05-25T22:49:37"</f>
        <v>2025-05-25T22:49:37</v>
      </c>
      <c r="AG221" t="s">
        <v>290</v>
      </c>
      <c r="AI221" t="s">
        <v>373</v>
      </c>
      <c r="AK221" t="s">
        <v>292</v>
      </c>
      <c r="AP221" t="s">
        <v>293</v>
      </c>
      <c r="AT221" t="s">
        <v>294</v>
      </c>
      <c r="AU221" t="s">
        <v>295</v>
      </c>
      <c r="AW221" t="s">
        <v>296</v>
      </c>
      <c r="AX221">
        <v>2</v>
      </c>
      <c r="AY221" t="s">
        <v>297</v>
      </c>
      <c r="AZ221" t="s">
        <v>298</v>
      </c>
      <c r="BA221" t="s">
        <v>299</v>
      </c>
      <c r="BF221" t="s">
        <v>294</v>
      </c>
      <c r="BG221" t="s">
        <v>300</v>
      </c>
      <c r="BI221" t="s">
        <v>298</v>
      </c>
      <c r="BR221" t="s">
        <v>289</v>
      </c>
      <c r="BS221" t="s">
        <v>433</v>
      </c>
      <c r="BT221" t="s">
        <v>434</v>
      </c>
      <c r="BU221" t="s">
        <v>303</v>
      </c>
      <c r="BV221" t="s">
        <v>304</v>
      </c>
      <c r="BX221" t="s">
        <v>324</v>
      </c>
      <c r="BY221" t="s">
        <v>298</v>
      </c>
      <c r="BZ221" t="s">
        <v>920</v>
      </c>
      <c r="CA221" t="s">
        <v>511</v>
      </c>
      <c r="CC221" t="s">
        <v>308</v>
      </c>
      <c r="CD221" t="s">
        <v>309</v>
      </c>
      <c r="CE221" t="s">
        <v>294</v>
      </c>
      <c r="CK221" t="s">
        <v>580</v>
      </c>
      <c r="CL221" t="s">
        <v>311</v>
      </c>
      <c r="CM221" t="s">
        <v>1026</v>
      </c>
      <c r="CN221" t="s">
        <v>367</v>
      </c>
      <c r="CO221" t="s">
        <v>312</v>
      </c>
      <c r="CT221" t="s">
        <v>294</v>
      </c>
      <c r="CU221" t="s">
        <v>313</v>
      </c>
      <c r="CV221" t="s">
        <v>314</v>
      </c>
      <c r="CW221" t="s">
        <v>315</v>
      </c>
      <c r="CX221" t="s">
        <v>316</v>
      </c>
      <c r="CZ221" t="s">
        <v>289</v>
      </c>
      <c r="DA221" t="s">
        <v>289</v>
      </c>
      <c r="DB221" t="s">
        <v>289</v>
      </c>
      <c r="DC221" t="s">
        <v>289</v>
      </c>
      <c r="DI221" t="s">
        <v>289</v>
      </c>
      <c r="DL221" t="s">
        <v>289</v>
      </c>
      <c r="DM221" t="s">
        <v>376</v>
      </c>
      <c r="DN221" t="s">
        <v>304</v>
      </c>
      <c r="DS221" t="s">
        <v>289</v>
      </c>
      <c r="DT221" t="s">
        <v>289</v>
      </c>
      <c r="DU221" t="s">
        <v>318</v>
      </c>
      <c r="DV221" t="s">
        <v>289</v>
      </c>
      <c r="DX221" t="s">
        <v>319</v>
      </c>
      <c r="EA221" t="s">
        <v>289</v>
      </c>
    </row>
    <row r="222" spans="1:231" x14ac:dyDescent="0.25">
      <c r="A222">
        <v>26429117</v>
      </c>
      <c r="B222">
        <v>958155</v>
      </c>
      <c r="C222" t="str">
        <f>"130918605334"</f>
        <v>130918605334</v>
      </c>
      <c r="D222" t="s">
        <v>1024</v>
      </c>
      <c r="E222" t="s">
        <v>1027</v>
      </c>
      <c r="F222" t="s">
        <v>838</v>
      </c>
      <c r="G222" s="1">
        <v>41535</v>
      </c>
      <c r="I222" t="s">
        <v>286</v>
      </c>
      <c r="J222" t="s">
        <v>287</v>
      </c>
      <c r="K222" t="s">
        <v>288</v>
      </c>
      <c r="Q222" t="s">
        <v>289</v>
      </c>
      <c r="R222" t="str">
        <f>"КАЗАХСТАН, АКМОЛИНСКАЯ, ЗЕРЕНДИНСКИЙ РАЙОН, Айдабол, 2, 2"</f>
        <v>КАЗАХСТАН, АКМОЛИНСКАЯ, ЗЕРЕНДИНСКИЙ РАЙОН, Айдабол, 2, 2</v>
      </c>
      <c r="S222" t="str">
        <f>"ҚАЗАҚСТАН, АҚМОЛА, ЗЕРЕНДІ АУДАНЫ, Айдабол, 2, 2"</f>
        <v>ҚАЗАҚСТАН, АҚМОЛА, ЗЕРЕНДІ АУДАНЫ, Айдабол, 2, 2</v>
      </c>
      <c r="T222" t="str">
        <f>"Айдабол, 2, 2"</f>
        <v>Айдабол, 2, 2</v>
      </c>
      <c r="U222" t="str">
        <f>"Айдабол, 2, 2"</f>
        <v>Айдабол, 2, 2</v>
      </c>
      <c r="AC222" t="str">
        <f>"2023-09-18T00:00:00"</f>
        <v>2023-09-18T00:00:00</v>
      </c>
      <c r="AD222" t="str">
        <f>"9"</f>
        <v>9</v>
      </c>
      <c r="AE222" t="str">
        <f>"2024-09-01T21:14:16"</f>
        <v>2024-09-01T21:14:16</v>
      </c>
      <c r="AF222" t="str">
        <f>"2025-05-25T21:14:16"</f>
        <v>2025-05-25T21:14:16</v>
      </c>
      <c r="AG222" t="s">
        <v>290</v>
      </c>
      <c r="AI222" t="s">
        <v>558</v>
      </c>
      <c r="AK222" t="s">
        <v>634</v>
      </c>
      <c r="AP222" t="s">
        <v>293</v>
      </c>
      <c r="AT222" t="s">
        <v>294</v>
      </c>
      <c r="AU222" t="s">
        <v>295</v>
      </c>
      <c r="AW222" t="s">
        <v>296</v>
      </c>
      <c r="AX222">
        <v>2</v>
      </c>
      <c r="AY222" t="s">
        <v>297</v>
      </c>
      <c r="AZ222" t="s">
        <v>298</v>
      </c>
      <c r="BA222" t="s">
        <v>299</v>
      </c>
      <c r="BF222" t="s">
        <v>294</v>
      </c>
      <c r="BG222" t="s">
        <v>300</v>
      </c>
      <c r="BI222" t="s">
        <v>298</v>
      </c>
      <c r="BR222" t="s">
        <v>289</v>
      </c>
      <c r="BS222" t="s">
        <v>433</v>
      </c>
      <c r="BT222" t="s">
        <v>434</v>
      </c>
      <c r="BU222" t="s">
        <v>303</v>
      </c>
      <c r="BV222" t="s">
        <v>304</v>
      </c>
      <c r="BX222" t="s">
        <v>305</v>
      </c>
      <c r="BY222" t="s">
        <v>298</v>
      </c>
      <c r="BZ222" t="s">
        <v>306</v>
      </c>
      <c r="CA222" t="s">
        <v>334</v>
      </c>
      <c r="CC222" t="s">
        <v>308</v>
      </c>
      <c r="CD222" t="s">
        <v>309</v>
      </c>
      <c r="CE222" t="s">
        <v>294</v>
      </c>
      <c r="CK222" t="s">
        <v>1028</v>
      </c>
      <c r="CL222" t="s">
        <v>783</v>
      </c>
      <c r="CM222" t="s">
        <v>298</v>
      </c>
      <c r="CO222" t="s">
        <v>312</v>
      </c>
      <c r="CT222" t="s">
        <v>294</v>
      </c>
      <c r="CU222" t="s">
        <v>313</v>
      </c>
      <c r="CV222" t="s">
        <v>314</v>
      </c>
      <c r="CW222" t="s">
        <v>315</v>
      </c>
      <c r="CX222" t="s">
        <v>316</v>
      </c>
      <c r="CZ222" t="s">
        <v>289</v>
      </c>
      <c r="DA222" t="s">
        <v>289</v>
      </c>
      <c r="DB222" t="s">
        <v>289</v>
      </c>
      <c r="DC222" t="s">
        <v>289</v>
      </c>
      <c r="DI222" t="s">
        <v>289</v>
      </c>
      <c r="DL222" t="s">
        <v>289</v>
      </c>
      <c r="DM222" t="s">
        <v>317</v>
      </c>
      <c r="DS222" t="s">
        <v>289</v>
      </c>
      <c r="DT222" t="s">
        <v>289</v>
      </c>
      <c r="DU222" t="s">
        <v>318</v>
      </c>
      <c r="DV222" t="s">
        <v>289</v>
      </c>
      <c r="DX222" t="s">
        <v>319</v>
      </c>
      <c r="DY222" t="s">
        <v>304</v>
      </c>
      <c r="EA222" t="s">
        <v>289</v>
      </c>
    </row>
    <row r="223" spans="1:231" x14ac:dyDescent="0.25">
      <c r="A223">
        <v>26472196</v>
      </c>
      <c r="B223">
        <v>141218</v>
      </c>
      <c r="C223" t="str">
        <f>"110813503278"</f>
        <v>110813503278</v>
      </c>
      <c r="D223" t="s">
        <v>1029</v>
      </c>
      <c r="E223" t="s">
        <v>738</v>
      </c>
      <c r="F223" t="s">
        <v>1030</v>
      </c>
      <c r="G223" s="1">
        <v>40768</v>
      </c>
      <c r="I223" t="s">
        <v>353</v>
      </c>
      <c r="J223" t="s">
        <v>287</v>
      </c>
      <c r="K223" t="s">
        <v>288</v>
      </c>
      <c r="Q223" t="s">
        <v>289</v>
      </c>
      <c r="R223" t="str">
        <f>"КАЗАХСТАН, АКМОЛИНСКАЯ, ЗЕРЕНДИНСКИЙ РАЙОН, Зерендинский, Зеренда, 45, 1"</f>
        <v>КАЗАХСТАН, АКМОЛИНСКАЯ, ЗЕРЕНДИНСКИЙ РАЙОН, Зерендинский, Зеренда, 45, 1</v>
      </c>
      <c r="S223" t="str">
        <f>"ҚАЗАҚСТАН, АҚМОЛА, ЗЕРЕНДІ АУДАНЫ, Зерендинский, Зеренда, 45, 1"</f>
        <v>ҚАЗАҚСТАН, АҚМОЛА, ЗЕРЕНДІ АУДАНЫ, Зерендинский, Зеренда, 45, 1</v>
      </c>
      <c r="T223" t="str">
        <f>"Зерендинский, Зеренда, 45, 1"</f>
        <v>Зерендинский, Зеренда, 45, 1</v>
      </c>
      <c r="U223" t="str">
        <f>"Зерендинский, Зеренда, 45, 1"</f>
        <v>Зерендинский, Зеренда, 45, 1</v>
      </c>
      <c r="AC223" t="str">
        <f>"2023-09-18T00:00:00"</f>
        <v>2023-09-18T00:00:00</v>
      </c>
      <c r="AD223" t="str">
        <f>"10"</f>
        <v>10</v>
      </c>
      <c r="AE223" t="str">
        <f>"2024-09-01T22:49:45"</f>
        <v>2024-09-01T22:49:45</v>
      </c>
      <c r="AF223" t="str">
        <f>"2025-05-25T22:49:45"</f>
        <v>2025-05-25T22:49:45</v>
      </c>
      <c r="AG223" t="s">
        <v>290</v>
      </c>
      <c r="AI223" t="s">
        <v>373</v>
      </c>
      <c r="AK223" t="s">
        <v>292</v>
      </c>
      <c r="AP223" t="s">
        <v>342</v>
      </c>
      <c r="AT223" t="s">
        <v>294</v>
      </c>
      <c r="AU223" t="s">
        <v>679</v>
      </c>
      <c r="AW223" t="s">
        <v>296</v>
      </c>
      <c r="AX223">
        <v>2</v>
      </c>
      <c r="AY223" t="s">
        <v>297</v>
      </c>
      <c r="AZ223" t="s">
        <v>298</v>
      </c>
      <c r="BA223" t="s">
        <v>299</v>
      </c>
      <c r="BF223" t="s">
        <v>294</v>
      </c>
      <c r="BG223" t="s">
        <v>300</v>
      </c>
      <c r="BI223" t="s">
        <v>298</v>
      </c>
      <c r="BR223" t="s">
        <v>289</v>
      </c>
      <c r="BS223" t="s">
        <v>301</v>
      </c>
      <c r="BT223" t="s">
        <v>302</v>
      </c>
      <c r="BU223" t="s">
        <v>303</v>
      </c>
      <c r="BV223" t="s">
        <v>304</v>
      </c>
      <c r="BX223" t="s">
        <v>324</v>
      </c>
      <c r="BY223" t="s">
        <v>298</v>
      </c>
      <c r="BZ223" t="s">
        <v>306</v>
      </c>
      <c r="CA223" t="s">
        <v>649</v>
      </c>
      <c r="CC223" t="s">
        <v>308</v>
      </c>
      <c r="CD223" t="s">
        <v>309</v>
      </c>
      <c r="CE223" t="s">
        <v>294</v>
      </c>
      <c r="CK223" t="s">
        <v>497</v>
      </c>
      <c r="CL223" t="s">
        <v>328</v>
      </c>
      <c r="CM223" t="s">
        <v>298</v>
      </c>
      <c r="CO223" t="s">
        <v>312</v>
      </c>
      <c r="CT223" t="s">
        <v>294</v>
      </c>
      <c r="CU223" t="s">
        <v>313</v>
      </c>
      <c r="CV223" t="s">
        <v>314</v>
      </c>
      <c r="CW223" t="s">
        <v>315</v>
      </c>
      <c r="CX223" t="s">
        <v>316</v>
      </c>
      <c r="CZ223" t="s">
        <v>289</v>
      </c>
      <c r="DA223" t="s">
        <v>289</v>
      </c>
      <c r="DB223" t="s">
        <v>289</v>
      </c>
      <c r="DC223" t="s">
        <v>289</v>
      </c>
      <c r="DI223" t="s">
        <v>289</v>
      </c>
      <c r="DL223" t="s">
        <v>289</v>
      </c>
      <c r="DM223" t="s">
        <v>317</v>
      </c>
      <c r="DS223" t="s">
        <v>289</v>
      </c>
      <c r="DT223" t="s">
        <v>289</v>
      </c>
      <c r="DU223" t="s">
        <v>318</v>
      </c>
      <c r="DV223" t="s">
        <v>289</v>
      </c>
      <c r="DX223" t="s">
        <v>319</v>
      </c>
      <c r="EA223" t="s">
        <v>289</v>
      </c>
    </row>
    <row r="224" spans="1:231" x14ac:dyDescent="0.25">
      <c r="A224">
        <v>26695743</v>
      </c>
      <c r="B224">
        <v>637423</v>
      </c>
      <c r="C224" t="str">
        <f>"140318601123"</f>
        <v>140318601123</v>
      </c>
      <c r="D224" t="s">
        <v>1031</v>
      </c>
      <c r="E224" t="s">
        <v>556</v>
      </c>
      <c r="F224" t="s">
        <v>479</v>
      </c>
      <c r="G224" s="1">
        <v>41716</v>
      </c>
      <c r="I224" t="s">
        <v>286</v>
      </c>
      <c r="J224" t="s">
        <v>287</v>
      </c>
      <c r="K224" t="s">
        <v>288</v>
      </c>
      <c r="Q224" t="s">
        <v>289</v>
      </c>
      <c r="R224" t="str">
        <f>"КАЗАХСТАН, АКМОЛИНСКАЯ, ЗЕРЕНДИНСКИЙ РАЙОН, Зерендинский, Зеренда, 18, 7"</f>
        <v>КАЗАХСТАН, АКМОЛИНСКАЯ, ЗЕРЕНДИНСКИЙ РАЙОН, Зерендинский, Зеренда, 18, 7</v>
      </c>
      <c r="S224" t="str">
        <f>"ҚАЗАҚСТАН, АҚМОЛА, ЗЕРЕНДІ АУДАНЫ, Зерендинский, Зеренда, 18, 7"</f>
        <v>ҚАЗАҚСТАН, АҚМОЛА, ЗЕРЕНДІ АУДАНЫ, Зерендинский, Зеренда, 18, 7</v>
      </c>
      <c r="T224" t="str">
        <f>"Зерендинский, Зеренда, 18, 7"</f>
        <v>Зерендинский, Зеренда, 18, 7</v>
      </c>
      <c r="U224" t="str">
        <f>"Зерендинский, Зеренда, 18, 7"</f>
        <v>Зерендинский, Зеренда, 18, 7</v>
      </c>
      <c r="AC224" t="str">
        <f>"2023-10-09T00:00:00"</f>
        <v>2023-10-09T00:00:00</v>
      </c>
      <c r="AD224" t="str">
        <f>"16"</f>
        <v>16</v>
      </c>
      <c r="AE224" t="str">
        <f>"2024-09-01T21:19:36"</f>
        <v>2024-09-01T21:19:36</v>
      </c>
      <c r="AF224" t="str">
        <f>"2025-05-25T21:19:36"</f>
        <v>2025-05-25T21:19:36</v>
      </c>
      <c r="AG224" t="s">
        <v>290</v>
      </c>
      <c r="AI224" t="s">
        <v>373</v>
      </c>
      <c r="AK224" t="s">
        <v>634</v>
      </c>
      <c r="AP224" t="s">
        <v>342</v>
      </c>
      <c r="AT224" t="s">
        <v>294</v>
      </c>
      <c r="AU224" t="s">
        <v>295</v>
      </c>
      <c r="AW224" t="s">
        <v>296</v>
      </c>
      <c r="AX224">
        <v>2</v>
      </c>
      <c r="AY224" t="s">
        <v>297</v>
      </c>
      <c r="AZ224" t="s">
        <v>298</v>
      </c>
      <c r="BA224" t="s">
        <v>323</v>
      </c>
      <c r="BF224" t="s">
        <v>294</v>
      </c>
      <c r="BG224" t="s">
        <v>300</v>
      </c>
      <c r="BI224" t="s">
        <v>298</v>
      </c>
      <c r="BR224" t="s">
        <v>289</v>
      </c>
      <c r="BS224" t="s">
        <v>301</v>
      </c>
      <c r="BT224" t="s">
        <v>302</v>
      </c>
      <c r="BU224" t="s">
        <v>303</v>
      </c>
      <c r="BV224" t="s">
        <v>304</v>
      </c>
      <c r="BX224" t="s">
        <v>392</v>
      </c>
      <c r="BY224" t="s">
        <v>298</v>
      </c>
      <c r="BZ224" t="s">
        <v>306</v>
      </c>
      <c r="CA224" t="s">
        <v>393</v>
      </c>
      <c r="CC224" t="s">
        <v>308</v>
      </c>
      <c r="CD224" t="s">
        <v>309</v>
      </c>
      <c r="CE224" t="s">
        <v>294</v>
      </c>
      <c r="CK224" t="s">
        <v>467</v>
      </c>
      <c r="CL224" t="s">
        <v>328</v>
      </c>
      <c r="CM224" t="s">
        <v>298</v>
      </c>
      <c r="CO224" t="s">
        <v>312</v>
      </c>
      <c r="CT224" t="s">
        <v>294</v>
      </c>
      <c r="CU224" t="s">
        <v>313</v>
      </c>
      <c r="CV224" t="s">
        <v>314</v>
      </c>
      <c r="CW224" t="s">
        <v>315</v>
      </c>
      <c r="CX224" t="s">
        <v>316</v>
      </c>
      <c r="CZ224" t="s">
        <v>289</v>
      </c>
      <c r="DA224" t="s">
        <v>289</v>
      </c>
      <c r="DB224" t="s">
        <v>289</v>
      </c>
      <c r="DC224" t="s">
        <v>289</v>
      </c>
      <c r="DI224" t="s">
        <v>289</v>
      </c>
      <c r="DL224" t="s">
        <v>289</v>
      </c>
      <c r="DM224" t="s">
        <v>317</v>
      </c>
      <c r="DS224" t="s">
        <v>289</v>
      </c>
      <c r="DT224" t="s">
        <v>289</v>
      </c>
      <c r="DU224" t="s">
        <v>318</v>
      </c>
      <c r="DV224" t="s">
        <v>289</v>
      </c>
      <c r="DX224" t="s">
        <v>319</v>
      </c>
      <c r="EA224" t="s">
        <v>294</v>
      </c>
    </row>
    <row r="225" spans="1:282" x14ac:dyDescent="0.25">
      <c r="A225">
        <v>26716173</v>
      </c>
      <c r="B225">
        <v>11293593</v>
      </c>
      <c r="C225" t="str">
        <f>"180613601739"</f>
        <v>180613601739</v>
      </c>
      <c r="D225" t="s">
        <v>1032</v>
      </c>
      <c r="E225" t="s">
        <v>1033</v>
      </c>
      <c r="F225" t="s">
        <v>1034</v>
      </c>
      <c r="G225" s="1">
        <v>43264</v>
      </c>
      <c r="I225" t="s">
        <v>286</v>
      </c>
      <c r="J225" t="s">
        <v>287</v>
      </c>
      <c r="K225" t="s">
        <v>288</v>
      </c>
      <c r="Q225" t="s">
        <v>289</v>
      </c>
      <c r="R225" t="str">
        <f>"КАЗАХСТАН, АКМОЛИНСКАЯ, ЗЕРЕНДИНСКИЙ РАЙОН, Айдабол, 19"</f>
        <v>КАЗАХСТАН, АКМОЛИНСКАЯ, ЗЕРЕНДИНСКИЙ РАЙОН, Айдабол, 19</v>
      </c>
      <c r="S225" t="str">
        <f>"ҚАЗАҚСТАН, АҚМОЛА, ЗЕРЕНДІ АУДАНЫ, Айдабол, 19"</f>
        <v>ҚАЗАҚСТАН, АҚМОЛА, ЗЕРЕНДІ АУДАНЫ, Айдабол, 19</v>
      </c>
      <c r="T225" t="str">
        <f>"Айдабол, 19"</f>
        <v>Айдабол, 19</v>
      </c>
      <c r="U225" t="str">
        <f>"Айдабол, 19"</f>
        <v>Айдабол, 19</v>
      </c>
      <c r="AC225" t="str">
        <f>"2023-10-10T00:00:00"</f>
        <v>2023-10-10T00:00:00</v>
      </c>
      <c r="AD225" t="str">
        <f>"17"</f>
        <v>17</v>
      </c>
      <c r="AE225" t="str">
        <f>"2024-09-01T11:55:33"</f>
        <v>2024-09-01T11:55:33</v>
      </c>
      <c r="AF225" t="str">
        <f>"2025-05-25T11:55:33"</f>
        <v>2025-05-25T11:55:33</v>
      </c>
      <c r="AG225" t="s">
        <v>290</v>
      </c>
      <c r="AI225" t="s">
        <v>373</v>
      </c>
      <c r="AK225" t="s">
        <v>895</v>
      </c>
      <c r="AL225" t="s">
        <v>304</v>
      </c>
      <c r="AP225" t="s">
        <v>293</v>
      </c>
      <c r="AQ225" t="s">
        <v>289</v>
      </c>
      <c r="AT225" t="s">
        <v>294</v>
      </c>
      <c r="AU225" t="s">
        <v>295</v>
      </c>
      <c r="AW225" t="s">
        <v>296</v>
      </c>
      <c r="AX225">
        <v>1</v>
      </c>
      <c r="AY225" t="s">
        <v>297</v>
      </c>
      <c r="AZ225" t="s">
        <v>298</v>
      </c>
      <c r="BA225" t="s">
        <v>299</v>
      </c>
      <c r="BF225" t="s">
        <v>294</v>
      </c>
      <c r="BG225" t="s">
        <v>300</v>
      </c>
      <c r="BI225" t="s">
        <v>298</v>
      </c>
      <c r="BR225" t="s">
        <v>289</v>
      </c>
      <c r="BS225" t="s">
        <v>301</v>
      </c>
      <c r="BT225" t="s">
        <v>302</v>
      </c>
      <c r="BU225" t="s">
        <v>303</v>
      </c>
      <c r="BV225" t="s">
        <v>365</v>
      </c>
      <c r="BX225" t="s">
        <v>867</v>
      </c>
      <c r="BY225" t="s">
        <v>298</v>
      </c>
      <c r="CC225" t="s">
        <v>309</v>
      </c>
      <c r="CE225" t="s">
        <v>289</v>
      </c>
      <c r="CJ225" t="s">
        <v>704</v>
      </c>
      <c r="CK225" t="s">
        <v>807</v>
      </c>
      <c r="CL225" t="s">
        <v>311</v>
      </c>
      <c r="CM225" t="s">
        <v>298</v>
      </c>
      <c r="CO225" t="s">
        <v>312</v>
      </c>
      <c r="CT225" t="s">
        <v>289</v>
      </c>
      <c r="CX225" t="s">
        <v>316</v>
      </c>
      <c r="CZ225" t="s">
        <v>289</v>
      </c>
      <c r="DA225" t="s">
        <v>289</v>
      </c>
      <c r="DB225" t="s">
        <v>289</v>
      </c>
      <c r="DC225" t="s">
        <v>289</v>
      </c>
      <c r="DI225" t="s">
        <v>289</v>
      </c>
      <c r="DL225" t="s">
        <v>289</v>
      </c>
      <c r="DM225" t="s">
        <v>317</v>
      </c>
      <c r="DS225" t="s">
        <v>289</v>
      </c>
      <c r="DT225" t="s">
        <v>289</v>
      </c>
      <c r="DU225" t="s">
        <v>318</v>
      </c>
      <c r="DV225" t="s">
        <v>289</v>
      </c>
      <c r="DX225" t="s">
        <v>319</v>
      </c>
      <c r="EA225" t="s">
        <v>289</v>
      </c>
      <c r="HW225" t="s">
        <v>294</v>
      </c>
    </row>
    <row r="226" spans="1:282" x14ac:dyDescent="0.25">
      <c r="A226">
        <v>27336225</v>
      </c>
      <c r="B226">
        <v>956639</v>
      </c>
      <c r="C226" t="str">
        <f>"150206602104"</f>
        <v>150206602104</v>
      </c>
      <c r="D226" t="s">
        <v>371</v>
      </c>
      <c r="E226" t="s">
        <v>378</v>
      </c>
      <c r="F226" t="s">
        <v>1035</v>
      </c>
      <c r="G226" s="1">
        <v>42041</v>
      </c>
      <c r="I226" t="s">
        <v>286</v>
      </c>
      <c r="J226" t="s">
        <v>287</v>
      </c>
      <c r="K226" t="s">
        <v>288</v>
      </c>
      <c r="Q226" t="s">
        <v>289</v>
      </c>
      <c r="R226" t="str">
        <f>"КАЗАХСТАН, АКМОЛИНСКАЯ, ЗЕРЕНДИНСКИЙ РАЙОН, ЗЕРЕНДІ, 31"</f>
        <v>КАЗАХСТАН, АКМОЛИНСКАЯ, ЗЕРЕНДИНСКИЙ РАЙОН, ЗЕРЕНДІ, 31</v>
      </c>
      <c r="S226" t="str">
        <f>"ҚАЗАҚСТАН, АҚМОЛА, ЗЕРЕНДІ АУДАНЫ, ЗЕРЕНДІ, 31"</f>
        <v>ҚАЗАҚСТАН, АҚМОЛА, ЗЕРЕНДІ АУДАНЫ, ЗЕРЕНДІ, 31</v>
      </c>
      <c r="T226" t="str">
        <f>"ЗЕРЕНДІ, 31"</f>
        <v>ЗЕРЕНДІ, 31</v>
      </c>
      <c r="U226" t="str">
        <f>"ЗЕРЕНДІ, 31"</f>
        <v>ЗЕРЕНДІ, 31</v>
      </c>
      <c r="AC226" t="str">
        <f>"2024-04-01T00:00:00"</f>
        <v>2024-04-01T00:00:00</v>
      </c>
      <c r="AD226" t="str">
        <f>"1"</f>
        <v>1</v>
      </c>
      <c r="AE226" t="str">
        <f>"2024-09-01T11:58:54"</f>
        <v>2024-09-01T11:58:54</v>
      </c>
      <c r="AF226" t="str">
        <f>"2025-05-25T11:58:54"</f>
        <v>2025-05-25T11:58:54</v>
      </c>
      <c r="AG226" t="s">
        <v>290</v>
      </c>
      <c r="AI226" t="s">
        <v>291</v>
      </c>
      <c r="AK226" t="s">
        <v>703</v>
      </c>
      <c r="AP226" t="s">
        <v>293</v>
      </c>
      <c r="AQ226" t="s">
        <v>289</v>
      </c>
      <c r="AT226" t="s">
        <v>294</v>
      </c>
      <c r="AU226" t="s">
        <v>295</v>
      </c>
      <c r="AW226" t="s">
        <v>296</v>
      </c>
      <c r="AX226">
        <v>2</v>
      </c>
      <c r="AY226" t="s">
        <v>297</v>
      </c>
      <c r="AZ226" t="s">
        <v>298</v>
      </c>
      <c r="BA226" t="s">
        <v>299</v>
      </c>
      <c r="BF226" t="s">
        <v>294</v>
      </c>
      <c r="BG226" t="s">
        <v>300</v>
      </c>
      <c r="BI226" t="s">
        <v>298</v>
      </c>
      <c r="BR226" t="s">
        <v>289</v>
      </c>
      <c r="BS226" t="s">
        <v>301</v>
      </c>
      <c r="BT226" t="s">
        <v>302</v>
      </c>
      <c r="BU226" t="s">
        <v>303</v>
      </c>
      <c r="BV226" t="s">
        <v>365</v>
      </c>
      <c r="BX226" t="s">
        <v>324</v>
      </c>
      <c r="BY226" t="s">
        <v>298</v>
      </c>
      <c r="BZ226" t="s">
        <v>306</v>
      </c>
      <c r="CA226" t="s">
        <v>325</v>
      </c>
      <c r="CC226" t="s">
        <v>308</v>
      </c>
      <c r="CD226" t="s">
        <v>309</v>
      </c>
      <c r="CE226" t="s">
        <v>294</v>
      </c>
      <c r="CJ226" t="s">
        <v>1036</v>
      </c>
      <c r="CK226" t="s">
        <v>772</v>
      </c>
      <c r="CL226" t="s">
        <v>328</v>
      </c>
      <c r="CM226" t="s">
        <v>298</v>
      </c>
      <c r="CO226" t="s">
        <v>312</v>
      </c>
      <c r="CT226" t="s">
        <v>294</v>
      </c>
      <c r="CU226" t="s">
        <v>313</v>
      </c>
      <c r="CV226" t="s">
        <v>314</v>
      </c>
      <c r="CW226" t="s">
        <v>315</v>
      </c>
      <c r="CX226" t="s">
        <v>316</v>
      </c>
      <c r="CZ226" t="s">
        <v>289</v>
      </c>
      <c r="DA226" t="s">
        <v>289</v>
      </c>
      <c r="DB226" t="s">
        <v>289</v>
      </c>
      <c r="DC226" t="s">
        <v>289</v>
      </c>
      <c r="DI226" t="s">
        <v>289</v>
      </c>
      <c r="DL226" t="s">
        <v>289</v>
      </c>
      <c r="DM226" t="s">
        <v>317</v>
      </c>
      <c r="DS226" t="s">
        <v>289</v>
      </c>
      <c r="DT226" t="s">
        <v>289</v>
      </c>
      <c r="DU226" t="s">
        <v>318</v>
      </c>
      <c r="DV226" t="s">
        <v>289</v>
      </c>
      <c r="DX226" t="s">
        <v>319</v>
      </c>
      <c r="EA226" t="s">
        <v>289</v>
      </c>
    </row>
    <row r="227" spans="1:282" x14ac:dyDescent="0.25">
      <c r="A227">
        <v>27355350</v>
      </c>
      <c r="B227">
        <v>551152</v>
      </c>
      <c r="C227" t="str">
        <f>"160424500129"</f>
        <v>160424500129</v>
      </c>
      <c r="D227" t="s">
        <v>430</v>
      </c>
      <c r="E227" t="s">
        <v>743</v>
      </c>
      <c r="F227" t="s">
        <v>1037</v>
      </c>
      <c r="G227" s="1">
        <v>42484</v>
      </c>
      <c r="I227" t="s">
        <v>353</v>
      </c>
      <c r="J227" t="s">
        <v>287</v>
      </c>
      <c r="K227" t="s">
        <v>288</v>
      </c>
      <c r="Q227" t="s">
        <v>289</v>
      </c>
      <c r="R227" t="str">
        <f>"КАЗАХСТАН, АКМОЛИНСКАЯ, ЗЕРЕНДИНСКИЙ РАЙОН, ЗЕРЕНДА, 4"</f>
        <v>КАЗАХСТАН, АКМОЛИНСКАЯ, ЗЕРЕНДИНСКИЙ РАЙОН, ЗЕРЕНДА, 4</v>
      </c>
      <c r="S227" t="str">
        <f>"ҚАЗАҚСТАН, АҚМОЛА, ЗЕРЕНДІ АУДАНЫ, ЗЕРЕНДА, 4"</f>
        <v>ҚАЗАҚСТАН, АҚМОЛА, ЗЕРЕНДІ АУДАНЫ, ЗЕРЕНДА, 4</v>
      </c>
      <c r="T227" t="str">
        <f>"ЗЕРЕНДА, 4"</f>
        <v>ЗЕРЕНДА, 4</v>
      </c>
      <c r="U227" t="str">
        <f>"ЗЕРЕНДА, 4"</f>
        <v>ЗЕРЕНДА, 4</v>
      </c>
      <c r="AC227" t="str">
        <f>"2024-04-01T00:00:00"</f>
        <v>2024-04-01T00:00:00</v>
      </c>
      <c r="AD227" t="str">
        <f>"1"</f>
        <v>1</v>
      </c>
      <c r="AE227" t="str">
        <f>"2024-09-01T11:16:53"</f>
        <v>2024-09-01T11:16:53</v>
      </c>
      <c r="AF227" t="str">
        <f>"2025-05-25T11:16:53"</f>
        <v>2025-05-25T11:16:53</v>
      </c>
      <c r="AG227" t="s">
        <v>290</v>
      </c>
      <c r="AI227" t="s">
        <v>291</v>
      </c>
      <c r="AK227" t="s">
        <v>786</v>
      </c>
      <c r="AP227" t="s">
        <v>293</v>
      </c>
      <c r="AT227" t="s">
        <v>294</v>
      </c>
      <c r="AU227" t="s">
        <v>295</v>
      </c>
      <c r="AW227" t="s">
        <v>296</v>
      </c>
      <c r="AX227">
        <v>2</v>
      </c>
      <c r="AY227" t="s">
        <v>297</v>
      </c>
      <c r="AZ227" t="s">
        <v>298</v>
      </c>
      <c r="BA227" t="s">
        <v>299</v>
      </c>
      <c r="BF227" t="s">
        <v>294</v>
      </c>
      <c r="BG227" t="s">
        <v>300</v>
      </c>
      <c r="BI227" t="s">
        <v>298</v>
      </c>
      <c r="BR227" t="s">
        <v>289</v>
      </c>
      <c r="BS227" t="s">
        <v>301</v>
      </c>
      <c r="BT227" t="s">
        <v>302</v>
      </c>
      <c r="BU227" t="s">
        <v>303</v>
      </c>
      <c r="BV227" t="s">
        <v>365</v>
      </c>
      <c r="BX227" t="s">
        <v>305</v>
      </c>
      <c r="BY227" t="s">
        <v>298</v>
      </c>
      <c r="BZ227" t="s">
        <v>306</v>
      </c>
      <c r="CA227" t="s">
        <v>307</v>
      </c>
      <c r="CC227" t="s">
        <v>308</v>
      </c>
      <c r="CD227" t="s">
        <v>309</v>
      </c>
      <c r="CE227" t="s">
        <v>289</v>
      </c>
      <c r="CJ227" t="s">
        <v>1036</v>
      </c>
      <c r="CK227" t="s">
        <v>471</v>
      </c>
      <c r="CL227" t="s">
        <v>328</v>
      </c>
      <c r="CM227" t="s">
        <v>298</v>
      </c>
      <c r="CO227" t="s">
        <v>312</v>
      </c>
      <c r="CT227" t="s">
        <v>294</v>
      </c>
      <c r="CU227" t="s">
        <v>313</v>
      </c>
      <c r="CV227" t="s">
        <v>314</v>
      </c>
      <c r="CW227" t="s">
        <v>315</v>
      </c>
      <c r="CX227" t="s">
        <v>316</v>
      </c>
      <c r="CZ227" t="s">
        <v>289</v>
      </c>
      <c r="DA227" t="s">
        <v>289</v>
      </c>
      <c r="DB227" t="s">
        <v>289</v>
      </c>
      <c r="DC227" t="s">
        <v>289</v>
      </c>
      <c r="DI227" t="s">
        <v>289</v>
      </c>
      <c r="DL227" t="s">
        <v>289</v>
      </c>
      <c r="DM227" t="s">
        <v>815</v>
      </c>
      <c r="DN227" t="s">
        <v>304</v>
      </c>
      <c r="DO227" t="str">
        <f>"Нарушения речи, №2132"</f>
        <v>Нарушения речи, №2132</v>
      </c>
      <c r="DQ227" t="str">
        <f>"2023-10-18T00:00:00"</f>
        <v>2023-10-18T00:00:00</v>
      </c>
      <c r="DS227" t="s">
        <v>289</v>
      </c>
      <c r="DT227" t="s">
        <v>289</v>
      </c>
      <c r="DU227" t="s">
        <v>318</v>
      </c>
      <c r="DV227" t="s">
        <v>289</v>
      </c>
      <c r="DW227" t="s">
        <v>601</v>
      </c>
      <c r="DX227" t="s">
        <v>319</v>
      </c>
      <c r="DY227" t="s">
        <v>369</v>
      </c>
      <c r="EA227" t="s">
        <v>289</v>
      </c>
    </row>
    <row r="228" spans="1:282" x14ac:dyDescent="0.25">
      <c r="A228">
        <v>27363694</v>
      </c>
      <c r="B228">
        <v>9041286</v>
      </c>
      <c r="C228" t="str">
        <f>"170710503873"</f>
        <v>170710503873</v>
      </c>
      <c r="D228" t="s">
        <v>430</v>
      </c>
      <c r="E228" t="s">
        <v>1038</v>
      </c>
      <c r="F228" t="s">
        <v>1037</v>
      </c>
      <c r="G228" s="1">
        <v>42926</v>
      </c>
      <c r="I228" t="s">
        <v>353</v>
      </c>
      <c r="J228" t="s">
        <v>287</v>
      </c>
      <c r="K228" t="s">
        <v>288</v>
      </c>
      <c r="Q228" t="s">
        <v>289</v>
      </c>
      <c r="R228" t="str">
        <f>"КАЗАХСТАН, АКМОЛИНСКАЯ, ЗЕРЕНДИНСКИЙ РАЙОН, Зерендинский, Зеренда, 4"</f>
        <v>КАЗАХСТАН, АКМОЛИНСКАЯ, ЗЕРЕНДИНСКИЙ РАЙОН, Зерендинский, Зеренда, 4</v>
      </c>
      <c r="S228" t="str">
        <f>"ҚАЗАҚСТАН, АҚМОЛА, ЗЕРЕНДІ АУДАНЫ, Зерендинский, Зеренда, 4"</f>
        <v>ҚАЗАҚСТАН, АҚМОЛА, ЗЕРЕНДІ АУДАНЫ, Зерендинский, Зеренда, 4</v>
      </c>
      <c r="T228" t="str">
        <f>"Зерендинский, Зеренда, 4"</f>
        <v>Зерендинский, Зеренда, 4</v>
      </c>
      <c r="U228" t="str">
        <f>"Зерендинский, Зеренда, 4"</f>
        <v>Зерендинский, Зеренда, 4</v>
      </c>
      <c r="AC228" t="str">
        <f>"2024-04-01T00:00:00"</f>
        <v>2024-04-01T00:00:00</v>
      </c>
      <c r="AD228" t="str">
        <f>"1"</f>
        <v>1</v>
      </c>
      <c r="AE228" t="str">
        <f>"2024-09-01T10:30:40"</f>
        <v>2024-09-01T10:30:40</v>
      </c>
      <c r="AF228" t="str">
        <f>"2025-05-25T10:30:40"</f>
        <v>2025-05-25T10:30:40</v>
      </c>
      <c r="AG228" t="s">
        <v>290</v>
      </c>
      <c r="AI228" t="s">
        <v>291</v>
      </c>
      <c r="AK228" t="s">
        <v>866</v>
      </c>
      <c r="AP228" t="s">
        <v>342</v>
      </c>
      <c r="AT228" t="s">
        <v>294</v>
      </c>
      <c r="AU228" t="s">
        <v>295</v>
      </c>
      <c r="AW228" t="s">
        <v>296</v>
      </c>
      <c r="AX228">
        <v>1</v>
      </c>
      <c r="AY228" t="s">
        <v>297</v>
      </c>
      <c r="AZ228" t="s">
        <v>298</v>
      </c>
      <c r="BA228" t="s">
        <v>299</v>
      </c>
      <c r="BF228" t="s">
        <v>294</v>
      </c>
      <c r="BG228" t="s">
        <v>300</v>
      </c>
      <c r="BI228" t="s">
        <v>298</v>
      </c>
      <c r="BR228" t="s">
        <v>289</v>
      </c>
      <c r="BS228" t="s">
        <v>301</v>
      </c>
      <c r="BT228" t="s">
        <v>302</v>
      </c>
      <c r="BU228" t="s">
        <v>303</v>
      </c>
      <c r="BV228" t="s">
        <v>365</v>
      </c>
      <c r="BX228" t="s">
        <v>324</v>
      </c>
      <c r="BY228" t="s">
        <v>298</v>
      </c>
      <c r="BZ228" t="s">
        <v>386</v>
      </c>
      <c r="CA228" t="s">
        <v>387</v>
      </c>
      <c r="CC228" t="s">
        <v>309</v>
      </c>
      <c r="CE228" t="s">
        <v>289</v>
      </c>
      <c r="CJ228" t="s">
        <v>1036</v>
      </c>
      <c r="CK228" t="s">
        <v>471</v>
      </c>
      <c r="CL228" t="s">
        <v>328</v>
      </c>
      <c r="CM228" t="s">
        <v>298</v>
      </c>
      <c r="CO228" t="s">
        <v>312</v>
      </c>
      <c r="CT228" t="s">
        <v>294</v>
      </c>
      <c r="CU228" t="s">
        <v>313</v>
      </c>
      <c r="CV228" t="s">
        <v>314</v>
      </c>
      <c r="CW228" t="s">
        <v>315</v>
      </c>
      <c r="CX228" t="s">
        <v>316</v>
      </c>
      <c r="CZ228" t="s">
        <v>289</v>
      </c>
      <c r="DA228" t="s">
        <v>289</v>
      </c>
      <c r="DB228" t="s">
        <v>289</v>
      </c>
      <c r="DC228" t="s">
        <v>289</v>
      </c>
      <c r="DI228" t="s">
        <v>289</v>
      </c>
      <c r="DL228" t="s">
        <v>289</v>
      </c>
      <c r="DM228" t="s">
        <v>815</v>
      </c>
      <c r="DN228" t="s">
        <v>304</v>
      </c>
      <c r="DO228" t="str">
        <f>"ОНР 3 уровня, №2133"</f>
        <v>ОНР 3 уровня, №2133</v>
      </c>
      <c r="DQ228" t="str">
        <f>"2023-10-18T00:00:00"</f>
        <v>2023-10-18T00:00:00</v>
      </c>
      <c r="DS228" t="s">
        <v>289</v>
      </c>
      <c r="DT228" t="s">
        <v>289</v>
      </c>
      <c r="DU228" t="s">
        <v>318</v>
      </c>
      <c r="DV228" t="s">
        <v>289</v>
      </c>
      <c r="DX228" t="s">
        <v>319</v>
      </c>
      <c r="EA228" t="s">
        <v>289</v>
      </c>
    </row>
    <row r="229" spans="1:282" x14ac:dyDescent="0.25">
      <c r="A229">
        <v>27546702</v>
      </c>
      <c r="B229">
        <v>368313</v>
      </c>
      <c r="C229" t="str">
        <f>"131113600984"</f>
        <v>131113600984</v>
      </c>
      <c r="D229" t="s">
        <v>738</v>
      </c>
      <c r="E229" t="s">
        <v>1033</v>
      </c>
      <c r="F229" t="s">
        <v>1039</v>
      </c>
      <c r="G229" s="1">
        <v>41591</v>
      </c>
      <c r="I229" t="s">
        <v>286</v>
      </c>
      <c r="J229" t="s">
        <v>287</v>
      </c>
      <c r="K229" t="s">
        <v>288</v>
      </c>
      <c r="Q229" t="s">
        <v>289</v>
      </c>
      <c r="R229" t="str">
        <f>"КАЗАХСТАН, АКМОЛИНСКАЯ, КОКШЕТАУ, 88, 1"</f>
        <v>КАЗАХСТАН, АКМОЛИНСКАЯ, КОКШЕТАУ, 88, 1</v>
      </c>
      <c r="S229" t="str">
        <f>"ҚАЗАҚСТАН, АҚМОЛА, КӨКШЕТАУ, 88, 1"</f>
        <v>ҚАЗАҚСТАН, АҚМОЛА, КӨКШЕТАУ, 88, 1</v>
      </c>
      <c r="T229" t="str">
        <f>"88, 1"</f>
        <v>88, 1</v>
      </c>
      <c r="U229" t="str">
        <f>"88, 1"</f>
        <v>88, 1</v>
      </c>
      <c r="AC229" t="str">
        <f>"2024-06-05T00:00:00"</f>
        <v>2024-06-05T00:00:00</v>
      </c>
      <c r="AD229" t="str">
        <f>"3"</f>
        <v>3</v>
      </c>
      <c r="AE229" t="str">
        <f>"2024-09-01T14:04:20"</f>
        <v>2024-09-01T14:04:20</v>
      </c>
      <c r="AF229" t="str">
        <f>"2025-05-25T14:04:20"</f>
        <v>2025-05-25T14:04:20</v>
      </c>
      <c r="AG229" t="s">
        <v>290</v>
      </c>
      <c r="AI229" t="s">
        <v>373</v>
      </c>
      <c r="AK229" t="s">
        <v>465</v>
      </c>
      <c r="AP229" t="s">
        <v>293</v>
      </c>
      <c r="AT229" t="s">
        <v>294</v>
      </c>
      <c r="AU229" t="s">
        <v>295</v>
      </c>
      <c r="AW229" t="s">
        <v>296</v>
      </c>
      <c r="AX229">
        <v>2</v>
      </c>
      <c r="AY229" t="s">
        <v>297</v>
      </c>
      <c r="AZ229" t="s">
        <v>298</v>
      </c>
      <c r="BA229" t="s">
        <v>299</v>
      </c>
      <c r="BF229" t="s">
        <v>294</v>
      </c>
      <c r="BG229" t="s">
        <v>300</v>
      </c>
      <c r="BI229" t="s">
        <v>298</v>
      </c>
      <c r="BR229" t="s">
        <v>289</v>
      </c>
      <c r="BS229" t="s">
        <v>433</v>
      </c>
      <c r="BT229" t="s">
        <v>434</v>
      </c>
      <c r="BU229" t="s">
        <v>303</v>
      </c>
      <c r="BV229" t="s">
        <v>365</v>
      </c>
      <c r="BX229" t="s">
        <v>305</v>
      </c>
      <c r="BY229" t="s">
        <v>298</v>
      </c>
      <c r="BZ229" t="s">
        <v>920</v>
      </c>
      <c r="CA229" t="s">
        <v>492</v>
      </c>
      <c r="CC229" t="s">
        <v>308</v>
      </c>
      <c r="CD229" t="s">
        <v>309</v>
      </c>
      <c r="CE229" t="s">
        <v>294</v>
      </c>
      <c r="CK229" t="s">
        <v>1040</v>
      </c>
      <c r="CL229" t="s">
        <v>345</v>
      </c>
      <c r="CM229" t="s">
        <v>698</v>
      </c>
      <c r="CN229" t="s">
        <v>328</v>
      </c>
      <c r="CO229" t="s">
        <v>312</v>
      </c>
      <c r="CT229" t="s">
        <v>294</v>
      </c>
      <c r="CU229" t="s">
        <v>313</v>
      </c>
      <c r="CV229" t="s">
        <v>314</v>
      </c>
      <c r="CW229" t="s">
        <v>315</v>
      </c>
      <c r="CX229" t="s">
        <v>316</v>
      </c>
      <c r="CZ229" t="s">
        <v>289</v>
      </c>
      <c r="DA229" t="s">
        <v>289</v>
      </c>
      <c r="DB229" t="s">
        <v>289</v>
      </c>
      <c r="DC229" t="s">
        <v>289</v>
      </c>
      <c r="DI229" t="s">
        <v>289</v>
      </c>
      <c r="DL229" t="s">
        <v>289</v>
      </c>
      <c r="DM229" t="s">
        <v>317</v>
      </c>
      <c r="DS229" t="s">
        <v>289</v>
      </c>
      <c r="DT229" t="s">
        <v>289</v>
      </c>
      <c r="DU229" t="s">
        <v>318</v>
      </c>
      <c r="DV229" t="s">
        <v>289</v>
      </c>
      <c r="DX229" t="s">
        <v>368</v>
      </c>
      <c r="DY229" t="s">
        <v>472</v>
      </c>
      <c r="DZ229" t="s">
        <v>473</v>
      </c>
      <c r="EA229" t="s">
        <v>294</v>
      </c>
    </row>
    <row r="230" spans="1:282" x14ac:dyDescent="0.25">
      <c r="A230">
        <v>27578390</v>
      </c>
      <c r="B230">
        <v>12766259</v>
      </c>
      <c r="C230" t="str">
        <f>"170505600662"</f>
        <v>170505600662</v>
      </c>
      <c r="D230" t="s">
        <v>1041</v>
      </c>
      <c r="E230" t="s">
        <v>321</v>
      </c>
      <c r="F230" t="s">
        <v>1042</v>
      </c>
      <c r="G230" s="1">
        <v>42860</v>
      </c>
      <c r="I230" t="s">
        <v>286</v>
      </c>
      <c r="J230" t="s">
        <v>287</v>
      </c>
      <c r="K230" t="s">
        <v>288</v>
      </c>
      <c r="Q230" t="s">
        <v>289</v>
      </c>
      <c r="R230" t="str">
        <f>"КАЗАХСТАН, АКМОЛИНСКАЯ, ЗЕРЕНДИНСКИЙ РАЙОН, Зерендинский, Зеренда, 35"</f>
        <v>КАЗАХСТАН, АКМОЛИНСКАЯ, ЗЕРЕНДИНСКИЙ РАЙОН, Зерендинский, Зеренда, 35</v>
      </c>
      <c r="S230" t="str">
        <f>"ҚАЗАҚСТАН, АҚМОЛА, ЗЕРЕНДІ АУДАНЫ, Зерендинский, Зеренда, 35"</f>
        <v>ҚАЗАҚСТАН, АҚМОЛА, ЗЕРЕНДІ АУДАНЫ, Зерендинский, Зеренда, 35</v>
      </c>
      <c r="T230" t="str">
        <f>"Зерендинский, Зеренда, 35"</f>
        <v>Зерендинский, Зеренда, 35</v>
      </c>
      <c r="U230" t="str">
        <f>"Зерендинский, Зеренда, 35"</f>
        <v>Зерендинский, Зеренда, 35</v>
      </c>
      <c r="AC230" t="str">
        <f>"2024-06-13T00:00:00"</f>
        <v>2024-06-13T00:00:00</v>
      </c>
      <c r="AD230" t="str">
        <f>"4"</f>
        <v>4</v>
      </c>
      <c r="AE230" t="str">
        <f>"2024-09-01T12:00:23"</f>
        <v>2024-09-01T12:00:23</v>
      </c>
      <c r="AF230" t="str">
        <f>"2025-05-25T12:00:23"</f>
        <v>2025-05-25T12:00:23</v>
      </c>
      <c r="AG230" t="s">
        <v>622</v>
      </c>
      <c r="AI230" t="s">
        <v>476</v>
      </c>
      <c r="AK230" t="s">
        <v>866</v>
      </c>
      <c r="AP230" t="s">
        <v>342</v>
      </c>
      <c r="AQ230" t="s">
        <v>289</v>
      </c>
      <c r="AT230" t="s">
        <v>294</v>
      </c>
      <c r="AU230" t="s">
        <v>295</v>
      </c>
      <c r="AW230" t="s">
        <v>296</v>
      </c>
      <c r="AX230">
        <v>2</v>
      </c>
      <c r="AY230" t="s">
        <v>297</v>
      </c>
      <c r="AZ230" t="s">
        <v>298</v>
      </c>
      <c r="BA230" t="s">
        <v>299</v>
      </c>
      <c r="BF230" t="s">
        <v>294</v>
      </c>
      <c r="BG230" t="s">
        <v>300</v>
      </c>
      <c r="BI230" t="s">
        <v>298</v>
      </c>
      <c r="BR230" t="s">
        <v>289</v>
      </c>
      <c r="BS230" t="s">
        <v>301</v>
      </c>
      <c r="BT230" t="s">
        <v>302</v>
      </c>
      <c r="BU230" t="s">
        <v>303</v>
      </c>
      <c r="BV230" t="s">
        <v>365</v>
      </c>
      <c r="BX230" t="s">
        <v>867</v>
      </c>
      <c r="BY230" t="s">
        <v>298</v>
      </c>
      <c r="CC230" t="s">
        <v>309</v>
      </c>
      <c r="CE230" t="s">
        <v>289</v>
      </c>
      <c r="CJ230" t="s">
        <v>939</v>
      </c>
      <c r="CK230" t="s">
        <v>807</v>
      </c>
      <c r="CL230" t="s">
        <v>311</v>
      </c>
      <c r="CM230" t="s">
        <v>298</v>
      </c>
      <c r="CO230" t="s">
        <v>312</v>
      </c>
      <c r="CT230" t="s">
        <v>294</v>
      </c>
      <c r="CU230" t="s">
        <v>313</v>
      </c>
      <c r="CV230" t="s">
        <v>314</v>
      </c>
      <c r="CW230" t="s">
        <v>315</v>
      </c>
      <c r="CX230" t="s">
        <v>316</v>
      </c>
      <c r="CZ230" t="s">
        <v>289</v>
      </c>
      <c r="DA230" t="s">
        <v>289</v>
      </c>
      <c r="DB230" t="s">
        <v>289</v>
      </c>
      <c r="DC230" t="s">
        <v>289</v>
      </c>
      <c r="DI230" t="s">
        <v>289</v>
      </c>
      <c r="DL230" t="s">
        <v>289</v>
      </c>
      <c r="DM230" t="s">
        <v>317</v>
      </c>
      <c r="DS230" t="s">
        <v>289</v>
      </c>
      <c r="DT230" t="s">
        <v>289</v>
      </c>
      <c r="DU230" t="s">
        <v>318</v>
      </c>
      <c r="DV230" t="s">
        <v>289</v>
      </c>
      <c r="DX230" t="s">
        <v>319</v>
      </c>
      <c r="EA230" t="s">
        <v>289</v>
      </c>
    </row>
    <row r="231" spans="1:282" x14ac:dyDescent="0.25">
      <c r="A231">
        <v>27578409</v>
      </c>
      <c r="B231">
        <v>551975</v>
      </c>
      <c r="C231" t="str">
        <f>"160118503144"</f>
        <v>160118503144</v>
      </c>
      <c r="D231" t="s">
        <v>1043</v>
      </c>
      <c r="E231" t="s">
        <v>1044</v>
      </c>
      <c r="F231" t="s">
        <v>1045</v>
      </c>
      <c r="G231" s="1">
        <v>42387</v>
      </c>
      <c r="I231" t="s">
        <v>353</v>
      </c>
      <c r="J231" t="s">
        <v>287</v>
      </c>
      <c r="K231" t="s">
        <v>288</v>
      </c>
      <c r="Q231" t="s">
        <v>289</v>
      </c>
      <c r="R231" t="str">
        <f>"КАЗАХСТАН, АКМОЛИНСКАЯ, ЗЕРЕНДИНСКИЙ РАЙОН, ЗЕРЕНДА, 35"</f>
        <v>КАЗАХСТАН, АКМОЛИНСКАЯ, ЗЕРЕНДИНСКИЙ РАЙОН, ЗЕРЕНДА, 35</v>
      </c>
      <c r="S231" t="str">
        <f>"ҚАЗАҚСТАН, АҚМОЛА, ЗЕРЕНДІ АУДАНЫ, ЗЕРЕНДА, 35"</f>
        <v>ҚАЗАҚСТАН, АҚМОЛА, ЗЕРЕНДІ АУДАНЫ, ЗЕРЕНДА, 35</v>
      </c>
      <c r="T231" t="str">
        <f>"ЗЕРЕНДА, 35"</f>
        <v>ЗЕРЕНДА, 35</v>
      </c>
      <c r="U231" t="str">
        <f>"ЗЕРЕНДА, 35"</f>
        <v>ЗЕРЕНДА, 35</v>
      </c>
      <c r="AC231" t="str">
        <f>"2024-06-13T00:00:00"</f>
        <v>2024-06-13T00:00:00</v>
      </c>
      <c r="AD231" t="str">
        <f>"4"</f>
        <v>4</v>
      </c>
      <c r="AE231" t="str">
        <f>"2024-09-01T11:18:58"</f>
        <v>2024-09-01T11:18:58</v>
      </c>
      <c r="AF231" t="str">
        <f>"2025-05-25T11:18:58"</f>
        <v>2025-05-25T11:18:58</v>
      </c>
      <c r="AG231" t="s">
        <v>622</v>
      </c>
      <c r="AI231" t="s">
        <v>373</v>
      </c>
      <c r="AK231" t="s">
        <v>786</v>
      </c>
      <c r="AP231" t="s">
        <v>293</v>
      </c>
      <c r="AT231" t="s">
        <v>294</v>
      </c>
      <c r="AU231" t="s">
        <v>295</v>
      </c>
      <c r="AW231" t="s">
        <v>296</v>
      </c>
      <c r="AX231">
        <v>2</v>
      </c>
      <c r="AY231" t="s">
        <v>297</v>
      </c>
      <c r="AZ231" t="s">
        <v>298</v>
      </c>
      <c r="BA231" t="s">
        <v>299</v>
      </c>
      <c r="BF231" t="s">
        <v>294</v>
      </c>
      <c r="BG231" t="s">
        <v>300</v>
      </c>
      <c r="BI231" t="s">
        <v>298</v>
      </c>
      <c r="BR231" t="s">
        <v>289</v>
      </c>
      <c r="BS231" t="s">
        <v>301</v>
      </c>
      <c r="BT231" t="s">
        <v>302</v>
      </c>
      <c r="BU231" t="s">
        <v>303</v>
      </c>
      <c r="BV231" t="s">
        <v>365</v>
      </c>
      <c r="BX231" t="s">
        <v>324</v>
      </c>
      <c r="BY231" t="s">
        <v>298</v>
      </c>
      <c r="BZ231" t="s">
        <v>920</v>
      </c>
      <c r="CA231" t="s">
        <v>511</v>
      </c>
      <c r="CC231" t="s">
        <v>308</v>
      </c>
      <c r="CD231" t="s">
        <v>309</v>
      </c>
      <c r="CE231" t="s">
        <v>289</v>
      </c>
      <c r="CJ231" t="s">
        <v>1036</v>
      </c>
      <c r="CK231" t="s">
        <v>375</v>
      </c>
      <c r="CL231" t="s">
        <v>328</v>
      </c>
      <c r="CM231" t="s">
        <v>298</v>
      </c>
      <c r="CO231" t="s">
        <v>312</v>
      </c>
      <c r="CT231" t="s">
        <v>294</v>
      </c>
      <c r="CU231" t="s">
        <v>313</v>
      </c>
      <c r="CV231" t="s">
        <v>314</v>
      </c>
      <c r="CW231" t="s">
        <v>315</v>
      </c>
      <c r="CX231" t="s">
        <v>316</v>
      </c>
      <c r="CZ231" t="s">
        <v>289</v>
      </c>
      <c r="DA231" t="s">
        <v>289</v>
      </c>
      <c r="DB231" t="s">
        <v>289</v>
      </c>
      <c r="DC231" t="s">
        <v>289</v>
      </c>
      <c r="DI231" t="s">
        <v>289</v>
      </c>
      <c r="DL231" t="s">
        <v>289</v>
      </c>
      <c r="DM231" t="s">
        <v>317</v>
      </c>
      <c r="DS231" t="s">
        <v>289</v>
      </c>
      <c r="DT231" t="s">
        <v>289</v>
      </c>
      <c r="DU231" t="s">
        <v>318</v>
      </c>
      <c r="DV231" t="s">
        <v>289</v>
      </c>
      <c r="DX231" t="s">
        <v>319</v>
      </c>
      <c r="EA231" t="s">
        <v>289</v>
      </c>
    </row>
    <row r="232" spans="1:282" x14ac:dyDescent="0.25">
      <c r="A232">
        <v>27578425</v>
      </c>
      <c r="B232">
        <v>147608</v>
      </c>
      <c r="C232" t="str">
        <f>"100420550945"</f>
        <v>100420550945</v>
      </c>
      <c r="D232" t="s">
        <v>855</v>
      </c>
      <c r="E232" t="s">
        <v>776</v>
      </c>
      <c r="F232" t="s">
        <v>949</v>
      </c>
      <c r="G232" s="1">
        <v>40288</v>
      </c>
      <c r="I232" t="s">
        <v>353</v>
      </c>
      <c r="J232" t="s">
        <v>287</v>
      </c>
      <c r="K232" t="s">
        <v>288</v>
      </c>
      <c r="Q232" t="s">
        <v>289</v>
      </c>
      <c r="R232" t="str">
        <f>"КАЗАХСТАН, АКМОЛИНСКАЯ, ЗЕРЕНДИНСКИЙ РАЙОН, ЗЕРЕНДА, 35"</f>
        <v>КАЗАХСТАН, АКМОЛИНСКАЯ, ЗЕРЕНДИНСКИЙ РАЙОН, ЗЕРЕНДА, 35</v>
      </c>
      <c r="S232" t="str">
        <f>"ҚАЗАҚСТАН, АҚМОЛА, ЗЕРЕНДІ АУДАНЫ, ЗЕРЕНДА, 35"</f>
        <v>ҚАЗАҚСТАН, АҚМОЛА, ЗЕРЕНДІ АУДАНЫ, ЗЕРЕНДА, 35</v>
      </c>
      <c r="T232" t="str">
        <f>"ЗЕРЕНДА, 35"</f>
        <v>ЗЕРЕНДА, 35</v>
      </c>
      <c r="U232" t="str">
        <f>"ЗЕРЕНДА, 35"</f>
        <v>ЗЕРЕНДА, 35</v>
      </c>
      <c r="AC232" t="str">
        <f>"2024-06-13T00:00:00"</f>
        <v>2024-06-13T00:00:00</v>
      </c>
      <c r="AD232" t="str">
        <f>"4"</f>
        <v>4</v>
      </c>
      <c r="AE232" t="str">
        <f>"2024-09-01T18:29:31"</f>
        <v>2024-09-01T18:29:31</v>
      </c>
      <c r="AF232" t="str">
        <f>"2025-05-25T18:29:31"</f>
        <v>2025-05-25T18:29:31</v>
      </c>
      <c r="AG232" t="s">
        <v>622</v>
      </c>
      <c r="AH232" t="str">
        <f>"amir_2010@mail.ru"</f>
        <v>amir_2010@mail.ru</v>
      </c>
      <c r="AI232" t="s">
        <v>476</v>
      </c>
      <c r="AK232" t="s">
        <v>402</v>
      </c>
      <c r="AP232" t="s">
        <v>293</v>
      </c>
      <c r="AT232" t="s">
        <v>294</v>
      </c>
      <c r="AU232" t="s">
        <v>295</v>
      </c>
      <c r="AW232" t="s">
        <v>296</v>
      </c>
      <c r="AX232">
        <v>1</v>
      </c>
      <c r="AY232" t="s">
        <v>297</v>
      </c>
      <c r="AZ232" t="s">
        <v>298</v>
      </c>
      <c r="BA232" t="s">
        <v>299</v>
      </c>
      <c r="BF232" t="s">
        <v>294</v>
      </c>
      <c r="BG232" t="s">
        <v>300</v>
      </c>
      <c r="BI232" t="s">
        <v>298</v>
      </c>
      <c r="BR232" t="s">
        <v>289</v>
      </c>
      <c r="BS232" t="s">
        <v>301</v>
      </c>
      <c r="BT232" t="s">
        <v>302</v>
      </c>
      <c r="BU232" t="s">
        <v>303</v>
      </c>
      <c r="BV232" t="s">
        <v>304</v>
      </c>
      <c r="BX232" t="s">
        <v>324</v>
      </c>
      <c r="BY232" t="s">
        <v>298</v>
      </c>
      <c r="BZ232" t="s">
        <v>924</v>
      </c>
      <c r="CA232" t="s">
        <v>995</v>
      </c>
      <c r="CC232" t="s">
        <v>308</v>
      </c>
      <c r="CD232" t="s">
        <v>309</v>
      </c>
      <c r="CE232" t="s">
        <v>294</v>
      </c>
      <c r="CK232" t="s">
        <v>335</v>
      </c>
      <c r="CM232" t="s">
        <v>507</v>
      </c>
      <c r="CN232" t="s">
        <v>328</v>
      </c>
      <c r="CO232" t="s">
        <v>312</v>
      </c>
      <c r="CT232" t="s">
        <v>294</v>
      </c>
      <c r="CU232" t="s">
        <v>405</v>
      </c>
      <c r="CW232" t="s">
        <v>406</v>
      </c>
      <c r="CX232" t="s">
        <v>316</v>
      </c>
      <c r="CZ232" t="s">
        <v>289</v>
      </c>
      <c r="DA232" t="s">
        <v>289</v>
      </c>
      <c r="DB232" t="s">
        <v>289</v>
      </c>
      <c r="DC232" t="s">
        <v>289</v>
      </c>
      <c r="DI232" t="s">
        <v>289</v>
      </c>
      <c r="DL232" t="s">
        <v>289</v>
      </c>
      <c r="DM232" t="s">
        <v>317</v>
      </c>
      <c r="DS232" t="s">
        <v>289</v>
      </c>
      <c r="DT232" t="s">
        <v>289</v>
      </c>
      <c r="DU232" t="s">
        <v>318</v>
      </c>
      <c r="DV232" t="s">
        <v>289</v>
      </c>
      <c r="DX232" t="s">
        <v>319</v>
      </c>
      <c r="EA232" t="s">
        <v>289</v>
      </c>
    </row>
    <row r="233" spans="1:282" x14ac:dyDescent="0.25">
      <c r="A233">
        <v>27697071</v>
      </c>
      <c r="B233">
        <v>11240472</v>
      </c>
      <c r="C233" t="str">
        <f>"180425501691"</f>
        <v>180425501691</v>
      </c>
      <c r="D233" t="s">
        <v>1046</v>
      </c>
      <c r="E233" t="s">
        <v>1047</v>
      </c>
      <c r="F233" t="s">
        <v>1048</v>
      </c>
      <c r="G233" s="1">
        <v>43215</v>
      </c>
      <c r="I233" t="s">
        <v>353</v>
      </c>
      <c r="J233" t="s">
        <v>287</v>
      </c>
      <c r="K233" t="s">
        <v>288</v>
      </c>
      <c r="Q233" t="s">
        <v>289</v>
      </c>
      <c r="R233" t="str">
        <f>"КАЗАХСТАН, АКМОЛИНСКАЯ, КОКШЕТАУ, 34, 43"</f>
        <v>КАЗАХСТАН, АКМОЛИНСКАЯ, КОКШЕТАУ, 34, 43</v>
      </c>
      <c r="S233" t="str">
        <f>"ҚАЗАҚСТАН, АҚМОЛА, КӨКШЕТАУ, 34, 43"</f>
        <v>ҚАЗАҚСТАН, АҚМОЛА, КӨКШЕТАУ, 34, 43</v>
      </c>
      <c r="T233" t="str">
        <f>"34, 43"</f>
        <v>34, 43</v>
      </c>
      <c r="U233" t="str">
        <f>"34, 43"</f>
        <v>34, 43</v>
      </c>
      <c r="AC233" t="str">
        <f>"2024-08-27T00:00:00"</f>
        <v>2024-08-27T00:00:00</v>
      </c>
      <c r="AD233" t="str">
        <f>"19"</f>
        <v>19</v>
      </c>
      <c r="AE233" t="str">
        <f>"2024-09-01T11:55:36"</f>
        <v>2024-09-01T11:55:36</v>
      </c>
      <c r="AF233" t="str">
        <f>"2025-05-25T11:55:36"</f>
        <v>2025-05-25T11:55:36</v>
      </c>
      <c r="AG233" t="s">
        <v>290</v>
      </c>
      <c r="AI233" t="s">
        <v>291</v>
      </c>
      <c r="AK233" t="s">
        <v>895</v>
      </c>
      <c r="AP233" t="s">
        <v>293</v>
      </c>
      <c r="AQ233" t="s">
        <v>289</v>
      </c>
      <c r="AT233" t="s">
        <v>294</v>
      </c>
      <c r="AU233" t="s">
        <v>295</v>
      </c>
      <c r="AW233" t="s">
        <v>296</v>
      </c>
      <c r="AX233">
        <v>1</v>
      </c>
      <c r="AY233" t="s">
        <v>297</v>
      </c>
      <c r="AZ233" t="s">
        <v>298</v>
      </c>
      <c r="BA233" t="s">
        <v>299</v>
      </c>
      <c r="BF233" t="s">
        <v>294</v>
      </c>
      <c r="BG233" t="s">
        <v>300</v>
      </c>
      <c r="BI233" t="s">
        <v>298</v>
      </c>
      <c r="BR233" t="s">
        <v>289</v>
      </c>
      <c r="BS233" t="s">
        <v>301</v>
      </c>
      <c r="BT233" t="s">
        <v>302</v>
      </c>
      <c r="BU233" t="s">
        <v>303</v>
      </c>
      <c r="BV233" t="s">
        <v>365</v>
      </c>
      <c r="BX233" t="s">
        <v>867</v>
      </c>
      <c r="BY233" t="s">
        <v>298</v>
      </c>
      <c r="CC233" t="s">
        <v>309</v>
      </c>
      <c r="CE233" t="s">
        <v>289</v>
      </c>
      <c r="CJ233" t="s">
        <v>819</v>
      </c>
      <c r="CK233" t="s">
        <v>807</v>
      </c>
      <c r="CL233" t="s">
        <v>311</v>
      </c>
      <c r="CM233" t="s">
        <v>507</v>
      </c>
      <c r="CN233" t="s">
        <v>328</v>
      </c>
      <c r="CO233" t="s">
        <v>312</v>
      </c>
      <c r="CT233" t="s">
        <v>289</v>
      </c>
      <c r="CX233" t="s">
        <v>316</v>
      </c>
      <c r="CZ233" t="s">
        <v>289</v>
      </c>
      <c r="DA233" t="s">
        <v>289</v>
      </c>
      <c r="DB233" t="s">
        <v>289</v>
      </c>
      <c r="DC233" t="s">
        <v>289</v>
      </c>
      <c r="DI233" t="s">
        <v>289</v>
      </c>
      <c r="DL233" t="s">
        <v>289</v>
      </c>
      <c r="DM233" t="s">
        <v>317</v>
      </c>
      <c r="DS233" t="s">
        <v>289</v>
      </c>
      <c r="DT233" t="s">
        <v>289</v>
      </c>
      <c r="DU233" t="s">
        <v>318</v>
      </c>
      <c r="DV233" t="s">
        <v>289</v>
      </c>
      <c r="DX233" t="s">
        <v>319</v>
      </c>
      <c r="EA233" t="s">
        <v>289</v>
      </c>
      <c r="HW233" t="s">
        <v>294</v>
      </c>
      <c r="IJ233" t="str">
        <f>"850716451208"</f>
        <v>850716451208</v>
      </c>
      <c r="IK233" t="str">
        <f>"accept_school"</f>
        <v>accept_school</v>
      </c>
      <c r="IL233" t="str">
        <f>"ШОНАЕВА"</f>
        <v>ШОНАЕВА</v>
      </c>
      <c r="IM233" t="str">
        <f>"АСЕЛЬ"</f>
        <v>АСЕЛЬ</v>
      </c>
      <c r="IN233" t="str">
        <f>"БОЛАТОВНА"</f>
        <v>БОЛАТОВНА</v>
      </c>
      <c r="IO233" t="str">
        <f>"1985-07-16T01:00:00"</f>
        <v>1985-07-16T01:00:00</v>
      </c>
      <c r="IP233" t="str">
        <f>"77051035353"</f>
        <v>77051035353</v>
      </c>
      <c r="IQ233" t="str">
        <f>"hgjhyjmk@mail.ru"</f>
        <v>hgjhyjmk@mail.ru</v>
      </c>
      <c r="IR233" t="str">
        <f>"КАЗАХСТАН"</f>
        <v>КАЗАХСТАН</v>
      </c>
      <c r="IS233" t="s">
        <v>1049</v>
      </c>
      <c r="IT233" t="s">
        <v>1050</v>
      </c>
      <c r="IV233" t="str">
        <f>"МИКРОРАЙОН Центральный"</f>
        <v>МИКРОРАЙОН Центральный</v>
      </c>
      <c r="IW233" t="str">
        <f>"34"</f>
        <v>34</v>
      </c>
      <c r="IX233" t="str">
        <f>"-"</f>
        <v>-</v>
      </c>
      <c r="IY233" t="str">
        <f>"43"</f>
        <v>43</v>
      </c>
      <c r="IZ233" t="s">
        <v>1051</v>
      </c>
      <c r="JA233" t="str">
        <f>"040874530"</f>
        <v>040874530</v>
      </c>
      <c r="JC233" t="str">
        <f>"2016-03-03T01:00:00"</f>
        <v>2016-03-03T01:00:00</v>
      </c>
      <c r="JD233" t="str">
        <f>"2026-03-02T00:00:00"</f>
        <v>2026-03-02T00:00:00</v>
      </c>
      <c r="JE233" t="s">
        <v>1052</v>
      </c>
      <c r="JF233" t="str">
        <f>"101000062193474"</f>
        <v>101000062193474</v>
      </c>
      <c r="JG233" t="str">
        <f>"2024-07-11 13:18:02.0"</f>
        <v>2024-07-11 13:18:02.0</v>
      </c>
      <c r="JH233" t="str">
        <f>"1"</f>
        <v>1</v>
      </c>
      <c r="JI233" t="s">
        <v>1053</v>
      </c>
      <c r="JJ233" t="s">
        <v>1054</v>
      </c>
      <c r="JK233" t="s">
        <v>1055</v>
      </c>
      <c r="JL233" t="s">
        <v>297</v>
      </c>
      <c r="JM233" t="s">
        <v>296</v>
      </c>
      <c r="JN233" t="s">
        <v>895</v>
      </c>
      <c r="JO233" t="s">
        <v>1056</v>
      </c>
      <c r="JP233" t="s">
        <v>289</v>
      </c>
      <c r="JQ233" t="s">
        <v>1057</v>
      </c>
      <c r="JR233" t="s">
        <v>1058</v>
      </c>
      <c r="JS233" t="s">
        <v>1059</v>
      </c>
      <c r="JT233" t="s">
        <v>1060</v>
      </c>
      <c r="JU233" t="s">
        <v>1061</v>
      </c>
      <c r="JV233" t="s">
        <v>289</v>
      </c>
    </row>
    <row r="234" spans="1:282" x14ac:dyDescent="0.25">
      <c r="A234">
        <v>27762622</v>
      </c>
      <c r="B234">
        <v>8781762</v>
      </c>
      <c r="C234" t="str">
        <f>"141105501012"</f>
        <v>141105501012</v>
      </c>
      <c r="D234" t="s">
        <v>1062</v>
      </c>
      <c r="E234" t="s">
        <v>1063</v>
      </c>
      <c r="F234" t="s">
        <v>1064</v>
      </c>
      <c r="G234" s="1">
        <v>41948</v>
      </c>
      <c r="I234" t="s">
        <v>353</v>
      </c>
      <c r="J234" t="s">
        <v>287</v>
      </c>
      <c r="K234" t="s">
        <v>288</v>
      </c>
      <c r="Q234" t="s">
        <v>289</v>
      </c>
      <c r="R234" t="str">
        <f>"КАЗАХСТАН, АКМОЛИНСКАЯ, ЗЕРЕНДИНСКИЙ РАЙОН, КАРСАК"</f>
        <v>КАЗАХСТАН, АКМОЛИНСКАЯ, ЗЕРЕНДИНСКИЙ РАЙОН, КАРСАК</v>
      </c>
      <c r="S234" t="str">
        <f>"ҚАЗАҚСТАН, АҚМОЛА, ЗЕРЕНДІ АУДАНЫ, КАРСАК"</f>
        <v>ҚАЗАҚСТАН, АҚМОЛА, ЗЕРЕНДІ АУДАНЫ, КАРСАК</v>
      </c>
      <c r="T234" t="str">
        <f>"КАРСАК"</f>
        <v>КАРСАК</v>
      </c>
      <c r="U234" t="str">
        <f>"КАРСАК"</f>
        <v>КАРСАК</v>
      </c>
      <c r="AC234" t="str">
        <f>"2024-08-09T00:00:00"</f>
        <v>2024-08-09T00:00:00</v>
      </c>
      <c r="AD234" t="str">
        <f>"13"</f>
        <v>13</v>
      </c>
      <c r="AE234" t="str">
        <f>"2024-09-01T21:14:37"</f>
        <v>2024-09-01T21:14:37</v>
      </c>
      <c r="AF234" t="str">
        <f>"2025-05-25T21:14:37"</f>
        <v>2025-05-25T21:14:37</v>
      </c>
      <c r="AG234" t="s">
        <v>290</v>
      </c>
      <c r="AI234" t="s">
        <v>558</v>
      </c>
      <c r="AK234" t="s">
        <v>634</v>
      </c>
      <c r="AP234" t="s">
        <v>293</v>
      </c>
      <c r="AT234" t="s">
        <v>294</v>
      </c>
      <c r="AU234" t="s">
        <v>295</v>
      </c>
      <c r="AW234" t="s">
        <v>296</v>
      </c>
      <c r="AX234">
        <v>2</v>
      </c>
      <c r="AY234" t="s">
        <v>297</v>
      </c>
      <c r="AZ234" t="s">
        <v>298</v>
      </c>
      <c r="BA234" t="s">
        <v>323</v>
      </c>
      <c r="BF234" t="s">
        <v>294</v>
      </c>
      <c r="BG234" t="s">
        <v>300</v>
      </c>
      <c r="BI234" t="s">
        <v>298</v>
      </c>
      <c r="BR234" t="s">
        <v>289</v>
      </c>
      <c r="BS234" t="s">
        <v>433</v>
      </c>
      <c r="BT234" t="s">
        <v>434</v>
      </c>
      <c r="BU234" t="s">
        <v>303</v>
      </c>
      <c r="BV234" t="s">
        <v>304</v>
      </c>
      <c r="BX234" t="s">
        <v>305</v>
      </c>
      <c r="BY234" t="s">
        <v>298</v>
      </c>
      <c r="BZ234" t="s">
        <v>920</v>
      </c>
      <c r="CA234" t="s">
        <v>825</v>
      </c>
      <c r="CC234" t="s">
        <v>308</v>
      </c>
      <c r="CD234" t="s">
        <v>309</v>
      </c>
      <c r="CE234" t="s">
        <v>294</v>
      </c>
      <c r="CK234" t="s">
        <v>471</v>
      </c>
      <c r="CL234" t="s">
        <v>328</v>
      </c>
      <c r="CM234" t="s">
        <v>298</v>
      </c>
      <c r="CO234" t="s">
        <v>312</v>
      </c>
      <c r="CT234" t="s">
        <v>294</v>
      </c>
      <c r="CU234" t="s">
        <v>313</v>
      </c>
      <c r="CV234" t="s">
        <v>314</v>
      </c>
      <c r="CW234" t="s">
        <v>315</v>
      </c>
      <c r="CX234" t="s">
        <v>316</v>
      </c>
      <c r="CZ234" t="s">
        <v>289</v>
      </c>
      <c r="DA234" t="s">
        <v>289</v>
      </c>
      <c r="DB234" t="s">
        <v>289</v>
      </c>
      <c r="DC234" t="s">
        <v>289</v>
      </c>
      <c r="DI234" t="s">
        <v>289</v>
      </c>
      <c r="DL234" t="s">
        <v>289</v>
      </c>
      <c r="DM234" t="s">
        <v>317</v>
      </c>
      <c r="DN234" t="s">
        <v>304</v>
      </c>
      <c r="DS234" t="s">
        <v>289</v>
      </c>
      <c r="DT234" t="s">
        <v>289</v>
      </c>
      <c r="DU234" t="s">
        <v>318</v>
      </c>
      <c r="DV234" t="s">
        <v>289</v>
      </c>
      <c r="DX234" t="s">
        <v>319</v>
      </c>
      <c r="EA234" t="s">
        <v>289</v>
      </c>
    </row>
    <row r="235" spans="1:282" x14ac:dyDescent="0.25">
      <c r="A235">
        <v>27766203</v>
      </c>
      <c r="B235">
        <v>8803255</v>
      </c>
      <c r="C235" t="str">
        <f>"180119503048"</f>
        <v>180119503048</v>
      </c>
      <c r="D235" t="s">
        <v>1065</v>
      </c>
      <c r="E235" t="s">
        <v>469</v>
      </c>
      <c r="F235" t="s">
        <v>1066</v>
      </c>
      <c r="G235" s="1">
        <v>43119</v>
      </c>
      <c r="I235" t="s">
        <v>353</v>
      </c>
      <c r="J235" t="s">
        <v>287</v>
      </c>
      <c r="K235" t="s">
        <v>288</v>
      </c>
      <c r="Q235" t="s">
        <v>289</v>
      </c>
      <c r="R235" t="str">
        <f>"КАЗАХСТАН, АКМОЛИНСКАЯ, ЗЕРЕНДИНСКИЙ РАЙОН, Зерендинский, Зеренда, 61"</f>
        <v>КАЗАХСТАН, АКМОЛИНСКАЯ, ЗЕРЕНДИНСКИЙ РАЙОН, Зерендинский, Зеренда, 61</v>
      </c>
      <c r="S235" t="str">
        <f>"ҚАЗАҚСТАН, АҚМОЛА, ЗЕРЕНДІ АУДАНЫ, Зерендинский, Зеренда, 61"</f>
        <v>ҚАЗАҚСТАН, АҚМОЛА, ЗЕРЕНДІ АУДАНЫ, Зерендинский, Зеренда, 61</v>
      </c>
      <c r="T235" t="str">
        <f>"Зерендинский, Зеренда, 61"</f>
        <v>Зерендинский, Зеренда, 61</v>
      </c>
      <c r="U235" t="str">
        <f>"Зерендинский, Зеренда, 61"</f>
        <v>Зерендинский, Зеренда, 61</v>
      </c>
      <c r="AC235" t="str">
        <f>"2024-08-27T00:00:00"</f>
        <v>2024-08-27T00:00:00</v>
      </c>
      <c r="AD235" t="str">
        <f>"19"</f>
        <v>19</v>
      </c>
      <c r="AE235" t="str">
        <f>"2024-09-01T11:54:43"</f>
        <v>2024-09-01T11:54:43</v>
      </c>
      <c r="AF235" t="str">
        <f>"2025-05-25T11:54:43"</f>
        <v>2025-05-25T11:54:43</v>
      </c>
      <c r="AG235" t="s">
        <v>290</v>
      </c>
      <c r="AI235" t="s">
        <v>373</v>
      </c>
      <c r="AK235" t="s">
        <v>895</v>
      </c>
      <c r="AP235" t="s">
        <v>293</v>
      </c>
      <c r="AQ235" t="s">
        <v>289</v>
      </c>
      <c r="AT235" t="s">
        <v>294</v>
      </c>
      <c r="AU235" t="s">
        <v>295</v>
      </c>
      <c r="AW235" t="s">
        <v>296</v>
      </c>
      <c r="AX235">
        <v>1</v>
      </c>
      <c r="AY235" t="s">
        <v>297</v>
      </c>
      <c r="AZ235" t="s">
        <v>298</v>
      </c>
      <c r="BA235" t="s">
        <v>299</v>
      </c>
      <c r="BF235" t="s">
        <v>294</v>
      </c>
      <c r="BG235" t="s">
        <v>300</v>
      </c>
      <c r="BI235" t="s">
        <v>298</v>
      </c>
      <c r="BR235" t="s">
        <v>289</v>
      </c>
      <c r="BS235" t="s">
        <v>301</v>
      </c>
      <c r="BT235" t="s">
        <v>302</v>
      </c>
      <c r="BU235" t="s">
        <v>303</v>
      </c>
      <c r="BV235" t="s">
        <v>365</v>
      </c>
      <c r="BX235" t="s">
        <v>867</v>
      </c>
      <c r="BY235" t="s">
        <v>298</v>
      </c>
      <c r="CC235" t="s">
        <v>309</v>
      </c>
      <c r="CE235" t="s">
        <v>289</v>
      </c>
      <c r="CJ235" t="s">
        <v>819</v>
      </c>
      <c r="CK235" t="s">
        <v>807</v>
      </c>
      <c r="CL235" t="s">
        <v>311</v>
      </c>
      <c r="CM235" t="s">
        <v>298</v>
      </c>
      <c r="CO235" t="s">
        <v>312</v>
      </c>
      <c r="CT235" t="s">
        <v>289</v>
      </c>
      <c r="CX235" t="s">
        <v>316</v>
      </c>
      <c r="CZ235" t="s">
        <v>289</v>
      </c>
      <c r="DA235" t="s">
        <v>289</v>
      </c>
      <c r="DB235" t="s">
        <v>289</v>
      </c>
      <c r="DC235" t="s">
        <v>289</v>
      </c>
      <c r="DI235" t="s">
        <v>289</v>
      </c>
      <c r="DL235" t="s">
        <v>289</v>
      </c>
      <c r="DM235" t="s">
        <v>815</v>
      </c>
      <c r="DN235" t="s">
        <v>304</v>
      </c>
      <c r="DS235" t="s">
        <v>289</v>
      </c>
      <c r="DT235" t="s">
        <v>289</v>
      </c>
      <c r="DU235" t="s">
        <v>318</v>
      </c>
      <c r="DV235" t="s">
        <v>289</v>
      </c>
      <c r="DX235" t="s">
        <v>319</v>
      </c>
      <c r="EA235" t="s">
        <v>289</v>
      </c>
      <c r="HW235" t="s">
        <v>294</v>
      </c>
      <c r="IJ235" t="str">
        <f>"840107451136"</f>
        <v>840107451136</v>
      </c>
      <c r="IK235" t="str">
        <f>"accept_school"</f>
        <v>accept_school</v>
      </c>
      <c r="IL235" t="str">
        <f>"ЕСЖАНОВА"</f>
        <v>ЕСЖАНОВА</v>
      </c>
      <c r="IM235" t="str">
        <f>"БАХИТГУЛЬ"</f>
        <v>БАХИТГУЛЬ</v>
      </c>
      <c r="IO235" t="str">
        <f>"1984-01-07T01:00:00"</f>
        <v>1984-01-07T01:00:00</v>
      </c>
      <c r="IP235" t="str">
        <f>"77718346035"</f>
        <v>77718346035</v>
      </c>
      <c r="IQ235" t="str">
        <f>"baha.55555@mail.ru"</f>
        <v>baha.55555@mail.ru</v>
      </c>
      <c r="IR235" t="str">
        <f>"КАЗАХСТАН"</f>
        <v>КАЗАХСТАН</v>
      </c>
      <c r="IS235" t="s">
        <v>1049</v>
      </c>
      <c r="IT235" t="s">
        <v>1067</v>
      </c>
      <c r="IU235" t="str">
        <f>"Зерендинский, Зеренда"</f>
        <v>Зерендинский, Зеренда</v>
      </c>
      <c r="IV235" t="str">
        <f>"УЛИЦА Куйбышева"</f>
        <v>УЛИЦА Куйбышева</v>
      </c>
      <c r="IW235" t="str">
        <f>"61"</f>
        <v>61</v>
      </c>
      <c r="IX235" t="str">
        <f>"-"</f>
        <v>-</v>
      </c>
      <c r="IY235" t="str">
        <f>"-"</f>
        <v>-</v>
      </c>
      <c r="IZ235" t="s">
        <v>1051</v>
      </c>
      <c r="JA235" t="str">
        <f>"039287008"</f>
        <v>039287008</v>
      </c>
      <c r="JC235" t="str">
        <f>"2015-09-08T01:00:00"</f>
        <v>2015-09-08T01:00:00</v>
      </c>
      <c r="JD235" t="str">
        <f>"2025-09-07T00:00:00"</f>
        <v>2025-09-07T00:00:00</v>
      </c>
      <c r="JE235" t="s">
        <v>1052</v>
      </c>
      <c r="JF235" t="str">
        <f>"101000065305175"</f>
        <v>101000065305175</v>
      </c>
      <c r="JG235" t="str">
        <f>"2024-07-29 10:30:08.0"</f>
        <v>2024-07-29 10:30:08.0</v>
      </c>
      <c r="JH235" t="str">
        <f>"1"</f>
        <v>1</v>
      </c>
      <c r="JI235" t="s">
        <v>1053</v>
      </c>
      <c r="JJ235" t="s">
        <v>1054</v>
      </c>
      <c r="JK235" t="s">
        <v>1055</v>
      </c>
      <c r="JL235" t="s">
        <v>297</v>
      </c>
      <c r="JM235" t="s">
        <v>296</v>
      </c>
      <c r="JN235" t="s">
        <v>895</v>
      </c>
      <c r="JO235" t="s">
        <v>1056</v>
      </c>
      <c r="JP235" t="s">
        <v>289</v>
      </c>
      <c r="JQ235" t="s">
        <v>1057</v>
      </c>
      <c r="JR235" t="s">
        <v>1058</v>
      </c>
      <c r="JS235" t="s">
        <v>1059</v>
      </c>
      <c r="JT235" t="s">
        <v>1060</v>
      </c>
      <c r="JU235" t="s">
        <v>1061</v>
      </c>
      <c r="JV235" t="s">
        <v>289</v>
      </c>
    </row>
    <row r="236" spans="1:282" x14ac:dyDescent="0.25">
      <c r="A236">
        <v>27786030</v>
      </c>
      <c r="B236">
        <v>10110227</v>
      </c>
      <c r="C236" t="str">
        <f>"180130603787"</f>
        <v>180130603787</v>
      </c>
      <c r="D236" t="s">
        <v>1068</v>
      </c>
      <c r="E236" t="s">
        <v>1069</v>
      </c>
      <c r="F236" t="s">
        <v>935</v>
      </c>
      <c r="G236" s="1">
        <v>43130</v>
      </c>
      <c r="I236" t="s">
        <v>286</v>
      </c>
      <c r="J236" t="s">
        <v>287</v>
      </c>
      <c r="K236" t="s">
        <v>288</v>
      </c>
      <c r="Q236" t="s">
        <v>289</v>
      </c>
      <c r="R236" t="str">
        <f>"КАЗАХСТАН, АКМОЛИНСКАЯ, ЗЕРЕНДИНСКИЙ РАЙОН, Зерендинский, Зеренда, 24"</f>
        <v>КАЗАХСТАН, АКМОЛИНСКАЯ, ЗЕРЕНДИНСКИЙ РАЙОН, Зерендинский, Зеренда, 24</v>
      </c>
      <c r="S236" t="str">
        <f>"ҚАЗАҚСТАН, АҚМОЛА, ЗЕРЕНДІ АУДАНЫ, Зерендинский, Зеренда, 24"</f>
        <v>ҚАЗАҚСТАН, АҚМОЛА, ЗЕРЕНДІ АУДАНЫ, Зерендинский, Зеренда, 24</v>
      </c>
      <c r="T236" t="str">
        <f>"Зерендинский, Зеренда, 24"</f>
        <v>Зерендинский, Зеренда, 24</v>
      </c>
      <c r="U236" t="str">
        <f>"Зерендинский, Зеренда, 24"</f>
        <v>Зерендинский, Зеренда, 24</v>
      </c>
      <c r="AC236" t="str">
        <f>"2024-08-27T00:00:00"</f>
        <v>2024-08-27T00:00:00</v>
      </c>
      <c r="AD236" t="str">
        <f>"19"</f>
        <v>19</v>
      </c>
      <c r="AE236" t="str">
        <f>"2024-09-01T11:56:21"</f>
        <v>2024-09-01T11:56:21</v>
      </c>
      <c r="AF236" t="str">
        <f>"2025-05-25T11:56:21"</f>
        <v>2025-05-25T11:56:21</v>
      </c>
      <c r="AG236" t="s">
        <v>290</v>
      </c>
      <c r="AI236" t="s">
        <v>291</v>
      </c>
      <c r="AK236" t="s">
        <v>895</v>
      </c>
      <c r="AP236" t="s">
        <v>293</v>
      </c>
      <c r="AQ236" t="s">
        <v>289</v>
      </c>
      <c r="AT236" t="s">
        <v>294</v>
      </c>
      <c r="AU236" t="s">
        <v>295</v>
      </c>
      <c r="AW236" t="s">
        <v>296</v>
      </c>
      <c r="AX236">
        <v>1</v>
      </c>
      <c r="AY236" t="s">
        <v>297</v>
      </c>
      <c r="AZ236" t="s">
        <v>298</v>
      </c>
      <c r="BA236" t="s">
        <v>323</v>
      </c>
      <c r="BF236" t="s">
        <v>294</v>
      </c>
      <c r="BG236" t="s">
        <v>300</v>
      </c>
      <c r="BI236" t="s">
        <v>298</v>
      </c>
      <c r="BR236" t="s">
        <v>289</v>
      </c>
      <c r="BS236" t="s">
        <v>301</v>
      </c>
      <c r="BT236" t="s">
        <v>302</v>
      </c>
      <c r="BU236" t="s">
        <v>303</v>
      </c>
      <c r="BV236" t="s">
        <v>365</v>
      </c>
      <c r="BX236" t="s">
        <v>867</v>
      </c>
      <c r="BY236" t="s">
        <v>298</v>
      </c>
      <c r="CC236" t="s">
        <v>309</v>
      </c>
      <c r="CE236" t="s">
        <v>289</v>
      </c>
      <c r="CJ236" t="s">
        <v>819</v>
      </c>
      <c r="CK236" t="s">
        <v>807</v>
      </c>
      <c r="CL236" t="s">
        <v>311</v>
      </c>
      <c r="CM236" t="s">
        <v>298</v>
      </c>
      <c r="CO236" t="s">
        <v>312</v>
      </c>
      <c r="CT236" t="s">
        <v>289</v>
      </c>
      <c r="CX236" t="s">
        <v>316</v>
      </c>
      <c r="CZ236" t="s">
        <v>289</v>
      </c>
      <c r="DA236" t="s">
        <v>289</v>
      </c>
      <c r="DB236" t="s">
        <v>289</v>
      </c>
      <c r="DC236" t="s">
        <v>289</v>
      </c>
      <c r="DI236" t="s">
        <v>289</v>
      </c>
      <c r="DL236" t="s">
        <v>289</v>
      </c>
      <c r="DM236" t="s">
        <v>800</v>
      </c>
      <c r="DN236" t="s">
        <v>304</v>
      </c>
      <c r="DS236" t="s">
        <v>289</v>
      </c>
      <c r="DT236" t="s">
        <v>289</v>
      </c>
      <c r="DU236" t="s">
        <v>318</v>
      </c>
      <c r="DV236" t="s">
        <v>289</v>
      </c>
      <c r="DX236" t="s">
        <v>319</v>
      </c>
      <c r="EA236" t="s">
        <v>289</v>
      </c>
      <c r="HW236" t="s">
        <v>294</v>
      </c>
      <c r="IJ236" t="str">
        <f>"900621451362"</f>
        <v>900621451362</v>
      </c>
      <c r="IK236" t="str">
        <f>"accept_school"</f>
        <v>accept_school</v>
      </c>
      <c r="IL236" t="str">
        <f>"СЕРАЛИНА"</f>
        <v>СЕРАЛИНА</v>
      </c>
      <c r="IM236" t="str">
        <f>"АСЕМ"</f>
        <v>АСЕМ</v>
      </c>
      <c r="IN236" t="str">
        <f>"ӨМІРБЕКҚЫЗЫ"</f>
        <v>ӨМІРБЕКҚЫЗЫ</v>
      </c>
      <c r="IO236" t="str">
        <f>"1990-06-21T02:00:00"</f>
        <v>1990-06-21T02:00:00</v>
      </c>
      <c r="IP236" t="str">
        <f>"77076139094"</f>
        <v>77076139094</v>
      </c>
      <c r="IQ236" t="str">
        <f>"seralina.1990@mail.ru"</f>
        <v>seralina.1990@mail.ru</v>
      </c>
      <c r="IR236" t="str">
        <f>"КАЗАХСТАН"</f>
        <v>КАЗАХСТАН</v>
      </c>
      <c r="IS236" t="s">
        <v>1049</v>
      </c>
      <c r="IT236" t="s">
        <v>1067</v>
      </c>
      <c r="IU236" t="str">
        <f>"Зерендинский, Зеренда"</f>
        <v>Зерендинский, Зеренда</v>
      </c>
      <c r="IV236" t="str">
        <f>"УЛИЦА Куйбышева"</f>
        <v>УЛИЦА Куйбышева</v>
      </c>
      <c r="IW236" t="str">
        <f>"24"</f>
        <v>24</v>
      </c>
      <c r="IX236" t="str">
        <f>"-"</f>
        <v>-</v>
      </c>
      <c r="IY236" t="str">
        <f>"-"</f>
        <v>-</v>
      </c>
      <c r="IZ236" t="s">
        <v>1051</v>
      </c>
      <c r="JA236" t="str">
        <f>"055695922"</f>
        <v>055695922</v>
      </c>
      <c r="JC236" t="str">
        <f>"2023-06-22T01:00:00"</f>
        <v>2023-06-22T01:00:00</v>
      </c>
      <c r="JD236" t="str">
        <f>"2033-06-21T00:00:00"</f>
        <v>2033-06-21T00:00:00</v>
      </c>
      <c r="JE236" t="s">
        <v>1052</v>
      </c>
      <c r="JF236" t="str">
        <f>"101000065967901"</f>
        <v>101000065967901</v>
      </c>
      <c r="JG236" t="str">
        <f>"2024-07-31 15:58:06.0"</f>
        <v>2024-07-31 15:58:06.0</v>
      </c>
      <c r="JH236" t="str">
        <f>"1"</f>
        <v>1</v>
      </c>
      <c r="JI236" t="s">
        <v>1053</v>
      </c>
      <c r="JJ236" t="s">
        <v>1054</v>
      </c>
      <c r="JK236" t="s">
        <v>1055</v>
      </c>
      <c r="JL236" t="s">
        <v>297</v>
      </c>
      <c r="JM236" t="s">
        <v>296</v>
      </c>
      <c r="JN236" t="s">
        <v>895</v>
      </c>
      <c r="JO236" t="s">
        <v>1056</v>
      </c>
      <c r="JP236" t="s">
        <v>289</v>
      </c>
      <c r="JQ236" t="s">
        <v>1057</v>
      </c>
      <c r="JR236" t="s">
        <v>1058</v>
      </c>
      <c r="JS236" t="s">
        <v>1059</v>
      </c>
      <c r="JT236" t="s">
        <v>1060</v>
      </c>
      <c r="JU236" t="s">
        <v>1061</v>
      </c>
      <c r="JV236" t="s">
        <v>289</v>
      </c>
    </row>
    <row r="237" spans="1:282" x14ac:dyDescent="0.25">
      <c r="A237">
        <v>27864291</v>
      </c>
      <c r="B237">
        <v>9893184</v>
      </c>
      <c r="C237" t="str">
        <f>"180620601241"</f>
        <v>180620601241</v>
      </c>
      <c r="D237" t="s">
        <v>1070</v>
      </c>
      <c r="E237" t="s">
        <v>1071</v>
      </c>
      <c r="F237" t="s">
        <v>1072</v>
      </c>
      <c r="G237" s="1">
        <v>43271</v>
      </c>
      <c r="I237" t="s">
        <v>286</v>
      </c>
      <c r="J237" t="s">
        <v>287</v>
      </c>
      <c r="K237" t="s">
        <v>288</v>
      </c>
      <c r="Q237" t="s">
        <v>289</v>
      </c>
      <c r="R237" t="str">
        <f>"КАЗАХСТАН, АКМОЛИНСКАЯ, ЗЕРЕНДИНСКИЙ РАЙОН, ЗЕРЕНДИНСКИЙ, ЗЕРЕНД"</f>
        <v>КАЗАХСТАН, АКМОЛИНСКАЯ, ЗЕРЕНДИНСКИЙ РАЙОН, ЗЕРЕНДИНСКИЙ, ЗЕРЕНД</v>
      </c>
      <c r="S237" t="str">
        <f>"ҚАЗАҚСТАН, АҚМОЛА, ЗЕРЕНДІ АУДАНЫ, ЗЕРЕНДИНСКИЙ, ЗЕРЕНД"</f>
        <v>ҚАЗАҚСТАН, АҚМОЛА, ЗЕРЕНДІ АУДАНЫ, ЗЕРЕНДИНСКИЙ, ЗЕРЕНД</v>
      </c>
      <c r="T237" t="str">
        <f>"ЗЕРЕНДИНСКИЙ, ЗЕРЕНД"</f>
        <v>ЗЕРЕНДИНСКИЙ, ЗЕРЕНД</v>
      </c>
      <c r="U237" t="str">
        <f>"ЗЕРЕНДИНСКИЙ, ЗЕРЕНД"</f>
        <v>ЗЕРЕНДИНСКИЙ, ЗЕРЕНД</v>
      </c>
      <c r="AC237" t="str">
        <f>"2024-08-27T00:00:00"</f>
        <v>2024-08-27T00:00:00</v>
      </c>
      <c r="AD237" t="str">
        <f>"19"</f>
        <v>19</v>
      </c>
      <c r="AE237" t="str">
        <f>"2024-09-01T11:56:27"</f>
        <v>2024-09-01T11:56:27</v>
      </c>
      <c r="AF237" t="str">
        <f>"2025-05-25T11:56:27"</f>
        <v>2025-05-25T11:56:27</v>
      </c>
      <c r="AG237" t="s">
        <v>290</v>
      </c>
      <c r="AI237" t="s">
        <v>291</v>
      </c>
      <c r="AK237" t="s">
        <v>895</v>
      </c>
      <c r="AP237" t="s">
        <v>293</v>
      </c>
      <c r="AQ237" t="s">
        <v>289</v>
      </c>
      <c r="AT237" t="s">
        <v>294</v>
      </c>
      <c r="AU237" t="s">
        <v>295</v>
      </c>
      <c r="AW237" t="s">
        <v>296</v>
      </c>
      <c r="AX237">
        <v>1</v>
      </c>
      <c r="AY237" t="s">
        <v>297</v>
      </c>
      <c r="AZ237" t="s">
        <v>298</v>
      </c>
      <c r="BA237" t="s">
        <v>323</v>
      </c>
      <c r="BF237" t="s">
        <v>294</v>
      </c>
      <c r="BG237" t="s">
        <v>300</v>
      </c>
      <c r="BI237" t="s">
        <v>298</v>
      </c>
      <c r="BR237" t="s">
        <v>289</v>
      </c>
      <c r="BS237" t="s">
        <v>301</v>
      </c>
      <c r="BT237" t="s">
        <v>302</v>
      </c>
      <c r="BU237" t="s">
        <v>303</v>
      </c>
      <c r="BV237" t="s">
        <v>365</v>
      </c>
      <c r="BX237" t="s">
        <v>867</v>
      </c>
      <c r="BY237" t="s">
        <v>298</v>
      </c>
      <c r="CC237" t="s">
        <v>309</v>
      </c>
      <c r="CE237" t="s">
        <v>289</v>
      </c>
      <c r="CJ237" t="s">
        <v>704</v>
      </c>
      <c r="CK237" t="s">
        <v>807</v>
      </c>
      <c r="CL237" t="s">
        <v>311</v>
      </c>
      <c r="CM237" t="s">
        <v>298</v>
      </c>
      <c r="CO237" t="s">
        <v>312</v>
      </c>
      <c r="CT237" t="s">
        <v>289</v>
      </c>
      <c r="CX237" t="s">
        <v>316</v>
      </c>
      <c r="CZ237" t="s">
        <v>289</v>
      </c>
      <c r="DA237" t="s">
        <v>289</v>
      </c>
      <c r="DB237" t="s">
        <v>289</v>
      </c>
      <c r="DC237" t="s">
        <v>289</v>
      </c>
      <c r="DI237" t="s">
        <v>289</v>
      </c>
      <c r="DL237" t="s">
        <v>289</v>
      </c>
      <c r="DM237" t="s">
        <v>376</v>
      </c>
      <c r="DN237" t="s">
        <v>304</v>
      </c>
      <c r="DS237" t="s">
        <v>289</v>
      </c>
      <c r="DT237" t="s">
        <v>289</v>
      </c>
      <c r="DU237" t="s">
        <v>318</v>
      </c>
      <c r="DV237" t="s">
        <v>289</v>
      </c>
      <c r="DX237" t="s">
        <v>319</v>
      </c>
      <c r="EA237" t="s">
        <v>289</v>
      </c>
      <c r="HW237" t="s">
        <v>294</v>
      </c>
      <c r="IJ237" t="str">
        <f>"911024451133"</f>
        <v>911024451133</v>
      </c>
      <c r="IK237" t="str">
        <f>"accept_school"</f>
        <v>accept_school</v>
      </c>
      <c r="IL237" t="str">
        <f>"КОСПАНОВА"</f>
        <v>КОСПАНОВА</v>
      </c>
      <c r="IM237" t="str">
        <f>"АСЕЛЬ"</f>
        <v>АСЕЛЬ</v>
      </c>
      <c r="IN237" t="str">
        <f>"КАНАТОВНА"</f>
        <v>КАНАТОВНА</v>
      </c>
      <c r="IO237" t="str">
        <f>"1991-10-24T01:00:00"</f>
        <v>1991-10-24T01:00:00</v>
      </c>
      <c r="IP237" t="str">
        <f>"77087496561"</f>
        <v>77087496561</v>
      </c>
      <c r="IQ237" t="str">
        <f>"A@MAIL.RU"</f>
        <v>A@MAIL.RU</v>
      </c>
      <c r="IR237" t="str">
        <f>"КАЗАХСТАН"</f>
        <v>КАЗАХСТАН</v>
      </c>
      <c r="IS237" t="s">
        <v>1049</v>
      </c>
      <c r="IT237" t="s">
        <v>1067</v>
      </c>
      <c r="IU237" t="str">
        <f>"Зерендинский, Зеренда"</f>
        <v>Зерендинский, Зеренда</v>
      </c>
      <c r="IV237" t="str">
        <f>"УЛИЦА Новая"</f>
        <v>УЛИЦА Новая</v>
      </c>
      <c r="IW237" t="str">
        <f>"23"</f>
        <v>23</v>
      </c>
      <c r="IX237" t="str">
        <f>"-"</f>
        <v>-</v>
      </c>
      <c r="IY237" t="str">
        <f>"-"</f>
        <v>-</v>
      </c>
      <c r="IZ237" t="s">
        <v>1051</v>
      </c>
      <c r="JA237" t="str">
        <f>"055375410"</f>
        <v>055375410</v>
      </c>
      <c r="JC237" t="str">
        <f>"2023-05-16T01:00:00"</f>
        <v>2023-05-16T01:00:00</v>
      </c>
      <c r="JD237" t="str">
        <f>"2033-05-15T00:00:00"</f>
        <v>2033-05-15T00:00:00</v>
      </c>
      <c r="JE237" t="s">
        <v>1052</v>
      </c>
      <c r="JF237" t="str">
        <f>"101000067783204"</f>
        <v>101000067783204</v>
      </c>
      <c r="JG237" t="str">
        <f>"2024-08-09 12:06:03.0"</f>
        <v>2024-08-09 12:06:03.0</v>
      </c>
      <c r="JH237" t="str">
        <f>"1"</f>
        <v>1</v>
      </c>
      <c r="JI237" t="s">
        <v>1053</v>
      </c>
      <c r="JJ237" t="s">
        <v>1054</v>
      </c>
      <c r="JK237" t="s">
        <v>1055</v>
      </c>
      <c r="JL237" t="s">
        <v>297</v>
      </c>
      <c r="JM237" t="s">
        <v>296</v>
      </c>
      <c r="JN237" t="s">
        <v>895</v>
      </c>
      <c r="JO237" t="s">
        <v>1056</v>
      </c>
      <c r="JP237" t="s">
        <v>289</v>
      </c>
      <c r="JQ237" t="s">
        <v>1057</v>
      </c>
      <c r="JR237" t="s">
        <v>1058</v>
      </c>
      <c r="JS237" t="s">
        <v>1059</v>
      </c>
      <c r="JT237" t="s">
        <v>1060</v>
      </c>
      <c r="JU237" t="s">
        <v>1061</v>
      </c>
      <c r="JV237" t="s">
        <v>289</v>
      </c>
    </row>
    <row r="238" spans="1:282" x14ac:dyDescent="0.25">
      <c r="A238">
        <v>28099556</v>
      </c>
      <c r="B238">
        <v>13952494</v>
      </c>
      <c r="C238" t="str">
        <f>"180402503325"</f>
        <v>180402503325</v>
      </c>
      <c r="D238" t="s">
        <v>1073</v>
      </c>
      <c r="E238" t="s">
        <v>1074</v>
      </c>
      <c r="F238" t="s">
        <v>1075</v>
      </c>
      <c r="G238" s="1">
        <v>43192</v>
      </c>
      <c r="I238" t="s">
        <v>353</v>
      </c>
      <c r="J238" t="s">
        <v>287</v>
      </c>
      <c r="K238" t="s">
        <v>778</v>
      </c>
      <c r="Q238" t="s">
        <v>289</v>
      </c>
      <c r="R238" t="str">
        <f>"КАЗАХСТАН, АКМОЛИНСКАЯ, ЗЕРЕНДИНСКИЙ РАЙОН, имени Канай-Би, Желтау, 1, 2"</f>
        <v>КАЗАХСТАН, АКМОЛИНСКАЯ, ЗЕРЕНДИНСКИЙ РАЙОН, имени Канай-Би, Желтау, 1, 2</v>
      </c>
      <c r="S238" t="str">
        <f>"ҚАЗАҚСТАН, АҚМОЛА, ЗЕРЕНДІ АУДАНЫ, имени Канай-Би, Желтау, 1, 2"</f>
        <v>ҚАЗАҚСТАН, АҚМОЛА, ЗЕРЕНДІ АУДАНЫ, имени Канай-Би, Желтау, 1, 2</v>
      </c>
      <c r="T238" t="str">
        <f>"имени Канай-Би, Желтау, 1, 2"</f>
        <v>имени Канай-Би, Желтау, 1, 2</v>
      </c>
      <c r="U238" t="str">
        <f>"имени Канай-Би, Желтау, 1, 2"</f>
        <v>имени Канай-Би, Желтау, 1, 2</v>
      </c>
      <c r="AC238" t="str">
        <f>"2024-08-27T00:00:00"</f>
        <v>2024-08-27T00:00:00</v>
      </c>
      <c r="AD238" t="str">
        <f>"19"</f>
        <v>19</v>
      </c>
      <c r="AE238" t="str">
        <f>"2024-09-01T11:56:30"</f>
        <v>2024-09-01T11:56:30</v>
      </c>
      <c r="AF238" t="str">
        <f>"2025-05-25T11:56:30"</f>
        <v>2025-05-25T11:56:30</v>
      </c>
      <c r="AG238" t="s">
        <v>290</v>
      </c>
      <c r="AI238" t="s">
        <v>476</v>
      </c>
      <c r="AK238" t="s">
        <v>895</v>
      </c>
      <c r="AP238" t="s">
        <v>293</v>
      </c>
      <c r="AQ238" t="s">
        <v>289</v>
      </c>
      <c r="AT238" t="s">
        <v>294</v>
      </c>
      <c r="AU238" t="s">
        <v>295</v>
      </c>
      <c r="AW238" t="s">
        <v>296</v>
      </c>
      <c r="AX238">
        <v>1</v>
      </c>
      <c r="AY238" t="s">
        <v>297</v>
      </c>
      <c r="AZ238" t="s">
        <v>298</v>
      </c>
      <c r="BA238" t="s">
        <v>299</v>
      </c>
      <c r="BF238" t="s">
        <v>294</v>
      </c>
      <c r="BG238" t="s">
        <v>300</v>
      </c>
      <c r="BI238" t="s">
        <v>298</v>
      </c>
      <c r="BR238" t="s">
        <v>289</v>
      </c>
      <c r="BS238" t="s">
        <v>433</v>
      </c>
      <c r="BT238" t="s">
        <v>434</v>
      </c>
      <c r="BU238" t="s">
        <v>303</v>
      </c>
      <c r="BV238" t="s">
        <v>365</v>
      </c>
      <c r="BX238" t="s">
        <v>867</v>
      </c>
      <c r="BY238" t="s">
        <v>298</v>
      </c>
      <c r="CC238" t="s">
        <v>309</v>
      </c>
      <c r="CE238" t="s">
        <v>289</v>
      </c>
      <c r="CH238" t="s">
        <v>317</v>
      </c>
      <c r="CI238" t="s">
        <v>317</v>
      </c>
      <c r="CJ238" s="2">
        <v>45566</v>
      </c>
      <c r="CK238" t="s">
        <v>807</v>
      </c>
      <c r="CL238" t="s">
        <v>311</v>
      </c>
      <c r="CM238" t="s">
        <v>298</v>
      </c>
      <c r="CO238" t="s">
        <v>312</v>
      </c>
      <c r="CT238" t="s">
        <v>289</v>
      </c>
      <c r="CX238" t="s">
        <v>316</v>
      </c>
      <c r="CZ238" t="s">
        <v>289</v>
      </c>
      <c r="DA238" t="s">
        <v>289</v>
      </c>
      <c r="DB238" t="s">
        <v>289</v>
      </c>
      <c r="DC238" t="s">
        <v>289</v>
      </c>
      <c r="DI238" t="s">
        <v>289</v>
      </c>
      <c r="DL238" t="s">
        <v>289</v>
      </c>
      <c r="DM238" t="s">
        <v>317</v>
      </c>
      <c r="DS238" t="s">
        <v>289</v>
      </c>
      <c r="DT238" t="s">
        <v>289</v>
      </c>
      <c r="DU238" t="s">
        <v>318</v>
      </c>
      <c r="DV238" t="s">
        <v>289</v>
      </c>
      <c r="DX238" t="s">
        <v>319</v>
      </c>
      <c r="EA238" t="s">
        <v>289</v>
      </c>
      <c r="HW238" t="s">
        <v>294</v>
      </c>
    </row>
    <row r="239" spans="1:282" x14ac:dyDescent="0.25">
      <c r="A239">
        <v>28108282</v>
      </c>
      <c r="B239">
        <v>12844077</v>
      </c>
      <c r="C239" t="str">
        <f>"160425604490"</f>
        <v>160425604490</v>
      </c>
      <c r="D239" t="s">
        <v>1076</v>
      </c>
      <c r="E239" t="s">
        <v>1077</v>
      </c>
      <c r="F239" t="s">
        <v>1078</v>
      </c>
      <c r="G239" s="1">
        <v>42485</v>
      </c>
      <c r="I239" t="s">
        <v>286</v>
      </c>
      <c r="J239" t="s">
        <v>287</v>
      </c>
      <c r="K239" t="s">
        <v>778</v>
      </c>
      <c r="Q239" t="s">
        <v>289</v>
      </c>
      <c r="R239" t="str">
        <f>"КАЗАХСТАН, АКМОЛИНСКАЯ, ЗЕРЕНДИНСКИЙ РАЙОН, ИМЕНИ КАНАЙ-БИ, Желтау, 1, 2"</f>
        <v>КАЗАХСТАН, АКМОЛИНСКАЯ, ЗЕРЕНДИНСКИЙ РАЙОН, ИМЕНИ КАНАЙ-БИ, Желтау, 1, 2</v>
      </c>
      <c r="S239" t="str">
        <f>"ҚАЗАҚСТАН, АҚМОЛА, ЗЕРЕНДІ АУДАНЫ, ИМЕНИ КАНАЙ-БИ, Желтау, 1, 2"</f>
        <v>ҚАЗАҚСТАН, АҚМОЛА, ЗЕРЕНДІ АУДАНЫ, ИМЕНИ КАНАЙ-БИ, Желтау, 1, 2</v>
      </c>
      <c r="T239" t="str">
        <f>"ИМЕНИ КАНАЙ-БИ, Желтау, 1, 2"</f>
        <v>ИМЕНИ КАНАЙ-БИ, Желтау, 1, 2</v>
      </c>
      <c r="U239" t="str">
        <f>"ИМЕНИ КАНАЙ-БИ, Желтау, 1, 2"</f>
        <v>ИМЕНИ КАНАЙ-БИ, Желтау, 1, 2</v>
      </c>
      <c r="AC239" t="str">
        <f>"2024-09-03T00:00:00"</f>
        <v>2024-09-03T00:00:00</v>
      </c>
      <c r="AD239" t="str">
        <f>"30"</f>
        <v>30</v>
      </c>
      <c r="AE239" t="str">
        <f>"2024-09-01T12:00:28"</f>
        <v>2024-09-01T12:00:28</v>
      </c>
      <c r="AF239" t="str">
        <f>"2025-05-25T12:00:28"</f>
        <v>2025-05-25T12:00:28</v>
      </c>
      <c r="AG239" t="s">
        <v>290</v>
      </c>
      <c r="AI239" t="s">
        <v>476</v>
      </c>
      <c r="AK239" t="s">
        <v>866</v>
      </c>
      <c r="AP239" t="s">
        <v>342</v>
      </c>
      <c r="AQ239" t="s">
        <v>289</v>
      </c>
      <c r="AT239" t="s">
        <v>294</v>
      </c>
      <c r="AU239" t="s">
        <v>295</v>
      </c>
      <c r="AW239" t="s">
        <v>296</v>
      </c>
      <c r="AX239">
        <v>2</v>
      </c>
      <c r="AY239" t="s">
        <v>297</v>
      </c>
      <c r="AZ239" t="s">
        <v>298</v>
      </c>
      <c r="BA239" t="s">
        <v>796</v>
      </c>
      <c r="BF239" t="s">
        <v>289</v>
      </c>
      <c r="BI239" t="s">
        <v>298</v>
      </c>
      <c r="BR239" t="s">
        <v>289</v>
      </c>
      <c r="BS239" t="s">
        <v>433</v>
      </c>
      <c r="BT239" t="s">
        <v>434</v>
      </c>
      <c r="BU239" t="s">
        <v>303</v>
      </c>
      <c r="BV239" t="s">
        <v>365</v>
      </c>
      <c r="BX239" t="s">
        <v>867</v>
      </c>
      <c r="BY239" t="s">
        <v>298</v>
      </c>
      <c r="CC239" t="s">
        <v>309</v>
      </c>
      <c r="CE239" t="s">
        <v>289</v>
      </c>
      <c r="CH239" t="s">
        <v>317</v>
      </c>
      <c r="CI239" t="s">
        <v>317</v>
      </c>
      <c r="CJ239" t="s">
        <v>819</v>
      </c>
      <c r="CK239" t="s">
        <v>1079</v>
      </c>
      <c r="CL239" t="s">
        <v>345</v>
      </c>
      <c r="CM239" t="s">
        <v>298</v>
      </c>
      <c r="CO239" t="s">
        <v>312</v>
      </c>
      <c r="CT239" t="s">
        <v>294</v>
      </c>
      <c r="CU239" t="s">
        <v>313</v>
      </c>
      <c r="CV239" t="s">
        <v>314</v>
      </c>
      <c r="CW239" t="s">
        <v>315</v>
      </c>
      <c r="CX239" t="s">
        <v>316</v>
      </c>
      <c r="CZ239" t="s">
        <v>289</v>
      </c>
      <c r="DA239" t="s">
        <v>289</v>
      </c>
      <c r="DB239" t="s">
        <v>289</v>
      </c>
      <c r="DC239" t="s">
        <v>289</v>
      </c>
      <c r="DI239" t="s">
        <v>289</v>
      </c>
      <c r="DL239" t="s">
        <v>289</v>
      </c>
      <c r="DM239" t="s">
        <v>317</v>
      </c>
      <c r="DS239" t="s">
        <v>289</v>
      </c>
      <c r="DT239" t="s">
        <v>289</v>
      </c>
      <c r="DU239" t="s">
        <v>318</v>
      </c>
      <c r="DV239" t="s">
        <v>289</v>
      </c>
      <c r="DX239" t="s">
        <v>319</v>
      </c>
      <c r="EA239" t="s">
        <v>289</v>
      </c>
    </row>
    <row r="240" spans="1:282" x14ac:dyDescent="0.25">
      <c r="A240">
        <v>28362814</v>
      </c>
      <c r="B240">
        <v>146812</v>
      </c>
      <c r="C240" t="str">
        <f>"080719550151"</f>
        <v>080719550151</v>
      </c>
      <c r="D240" t="s">
        <v>508</v>
      </c>
      <c r="E240" t="s">
        <v>1080</v>
      </c>
      <c r="F240" t="s">
        <v>1081</v>
      </c>
      <c r="G240" s="1">
        <v>39648</v>
      </c>
      <c r="I240" t="s">
        <v>353</v>
      </c>
      <c r="J240" t="s">
        <v>287</v>
      </c>
      <c r="K240" t="s">
        <v>288</v>
      </c>
      <c r="Q240" t="s">
        <v>289</v>
      </c>
      <c r="R240" t="str">
        <f>"КАЗАХСТАН, АКМОЛИНСКАЯ, ЗЕРЕНДИНСКИЙ РАЙОН, Зерендинский, Зеренда, 15, 7"</f>
        <v>КАЗАХСТАН, АКМОЛИНСКАЯ, ЗЕРЕНДИНСКИЙ РАЙОН, Зерендинский, Зеренда, 15, 7</v>
      </c>
      <c r="S240" t="str">
        <f>"ҚАЗАҚСТАН, АҚМОЛА, ЗЕРЕНДІ АУДАНЫ, Зерендинский, Зеренда, 15, 7"</f>
        <v>ҚАЗАҚСТАН, АҚМОЛА, ЗЕРЕНДІ АУДАНЫ, Зерендинский, Зеренда, 15, 7</v>
      </c>
      <c r="T240" t="str">
        <f>"Зерендинский, Зеренда, 15, 7"</f>
        <v>Зерендинский, Зеренда, 15, 7</v>
      </c>
      <c r="U240" t="str">
        <f>"Зерендинский, Зеренда, 15, 7"</f>
        <v>Зерендинский, Зеренда, 15, 7</v>
      </c>
      <c r="AC240" t="str">
        <f>"2024-09-01T09:36:00"</f>
        <v>2024-09-01T09:36:00</v>
      </c>
      <c r="AD240" t="str">
        <f>"1"</f>
        <v>1</v>
      </c>
      <c r="AE240" t="str">
        <f>"2024-09-01T18:46:28"</f>
        <v>2024-09-01T18:46:28</v>
      </c>
      <c r="AF240" t="str">
        <f>"2025-05-25T18:46:28"</f>
        <v>2025-05-25T18:46:28</v>
      </c>
      <c r="AG240" t="s">
        <v>290</v>
      </c>
      <c r="AH240" t="str">
        <f>"nau09@mail.ru"</f>
        <v>nau09@mail.ru</v>
      </c>
      <c r="AI240" t="s">
        <v>291</v>
      </c>
      <c r="AK240" t="s">
        <v>1082</v>
      </c>
      <c r="AP240" t="s">
        <v>293</v>
      </c>
      <c r="AT240" t="s">
        <v>294</v>
      </c>
      <c r="AU240" t="s">
        <v>295</v>
      </c>
      <c r="AW240" t="s">
        <v>296</v>
      </c>
      <c r="AX240">
        <v>1</v>
      </c>
      <c r="AY240" t="s">
        <v>297</v>
      </c>
      <c r="AZ240" t="s">
        <v>298</v>
      </c>
      <c r="BA240" t="s">
        <v>490</v>
      </c>
      <c r="BF240" t="s">
        <v>294</v>
      </c>
      <c r="BG240" t="s">
        <v>300</v>
      </c>
      <c r="BI240" t="s">
        <v>298</v>
      </c>
      <c r="BR240" t="s">
        <v>289</v>
      </c>
      <c r="BS240" t="s">
        <v>301</v>
      </c>
      <c r="BT240" t="s">
        <v>302</v>
      </c>
      <c r="BU240" t="s">
        <v>303</v>
      </c>
      <c r="BV240" t="s">
        <v>304</v>
      </c>
      <c r="BX240" t="s">
        <v>324</v>
      </c>
      <c r="BY240" t="s">
        <v>298</v>
      </c>
      <c r="BZ240" t="s">
        <v>403</v>
      </c>
      <c r="CA240" t="s">
        <v>410</v>
      </c>
      <c r="CC240" t="s">
        <v>308</v>
      </c>
      <c r="CD240" t="s">
        <v>309</v>
      </c>
      <c r="CE240" t="s">
        <v>294</v>
      </c>
      <c r="CH240" t="s">
        <v>304</v>
      </c>
      <c r="CI240" t="s">
        <v>304</v>
      </c>
      <c r="CK240" t="s">
        <v>327</v>
      </c>
      <c r="CL240" t="s">
        <v>328</v>
      </c>
      <c r="CM240" t="s">
        <v>298</v>
      </c>
      <c r="CO240" t="s">
        <v>312</v>
      </c>
      <c r="CT240" t="s">
        <v>294</v>
      </c>
      <c r="CU240" t="s">
        <v>405</v>
      </c>
      <c r="CW240" t="s">
        <v>406</v>
      </c>
      <c r="CX240" t="s">
        <v>316</v>
      </c>
      <c r="CZ240" t="s">
        <v>289</v>
      </c>
      <c r="DA240" t="s">
        <v>289</v>
      </c>
      <c r="DB240" t="s">
        <v>289</v>
      </c>
      <c r="DC240" t="s">
        <v>289</v>
      </c>
      <c r="DI240" t="s">
        <v>289</v>
      </c>
      <c r="DL240" t="s">
        <v>289</v>
      </c>
      <c r="DM240" t="s">
        <v>317</v>
      </c>
      <c r="DS240" t="s">
        <v>289</v>
      </c>
      <c r="DT240" t="s">
        <v>289</v>
      </c>
      <c r="DU240" t="s">
        <v>318</v>
      </c>
      <c r="DV240" t="s">
        <v>289</v>
      </c>
      <c r="DX240" t="s">
        <v>319</v>
      </c>
      <c r="EA240" t="s">
        <v>289</v>
      </c>
      <c r="EJ240" t="str">
        <f>"23"</f>
        <v>23</v>
      </c>
    </row>
    <row r="241" spans="1:140" x14ac:dyDescent="0.25">
      <c r="A241">
        <v>28362817</v>
      </c>
      <c r="B241">
        <v>146913</v>
      </c>
      <c r="C241" t="str">
        <f>"090511653430"</f>
        <v>090511653430</v>
      </c>
      <c r="D241" t="s">
        <v>1083</v>
      </c>
      <c r="E241" t="s">
        <v>1084</v>
      </c>
      <c r="F241" t="s">
        <v>1085</v>
      </c>
      <c r="G241" s="1">
        <v>39944</v>
      </c>
      <c r="I241" t="s">
        <v>286</v>
      </c>
      <c r="J241" t="s">
        <v>287</v>
      </c>
      <c r="K241" t="s">
        <v>288</v>
      </c>
      <c r="Q241" t="s">
        <v>289</v>
      </c>
      <c r="R241" t="str">
        <f>"КАЗАХСТАН, АКМОЛИНСКАЯ, ЗЕРЕНДИНСКИЙ РАЙОН, Зерендинский, Зеренда, 21, 1"</f>
        <v>КАЗАХСТАН, АКМОЛИНСКАЯ, ЗЕРЕНДИНСКИЙ РАЙОН, Зерендинский, Зеренда, 21, 1</v>
      </c>
      <c r="S241" t="str">
        <f>"ҚАЗАҚСТАН, АҚМОЛА, ЗЕРЕНДІ АУДАНЫ, Зерендинский, Зеренда, 21, 1"</f>
        <v>ҚАЗАҚСТАН, АҚМОЛА, ЗЕРЕНДІ АУДАНЫ, Зерендинский, Зеренда, 21, 1</v>
      </c>
      <c r="T241" t="str">
        <f>"Зерендинский, Зеренда, 21, 1"</f>
        <v>Зерендинский, Зеренда, 21, 1</v>
      </c>
      <c r="U241" t="str">
        <f>"Зерендинский, Зеренда, 21, 1"</f>
        <v>Зерендинский, Зеренда, 21, 1</v>
      </c>
      <c r="AC241" t="str">
        <f>"2024-09-01T09:36:00"</f>
        <v>2024-09-01T09:36:00</v>
      </c>
      <c r="AD241" t="str">
        <f>"1"</f>
        <v>1</v>
      </c>
      <c r="AE241" t="str">
        <f>"2024-09-01T18:39:37"</f>
        <v>2024-09-01T18:39:37</v>
      </c>
      <c r="AF241" t="str">
        <f>"2025-05-25T18:39:37"</f>
        <v>2025-05-25T18:39:37</v>
      </c>
      <c r="AG241" t="s">
        <v>290</v>
      </c>
      <c r="AH241" t="str">
        <f>"serik09@mail.ru"</f>
        <v>serik09@mail.ru</v>
      </c>
      <c r="AI241" t="s">
        <v>373</v>
      </c>
      <c r="AK241" t="s">
        <v>1082</v>
      </c>
      <c r="AP241" t="s">
        <v>342</v>
      </c>
      <c r="AT241" t="s">
        <v>294</v>
      </c>
      <c r="AU241" t="s">
        <v>295</v>
      </c>
      <c r="AW241" t="s">
        <v>296</v>
      </c>
      <c r="AX241">
        <v>1</v>
      </c>
      <c r="AY241" t="s">
        <v>297</v>
      </c>
      <c r="AZ241" t="s">
        <v>298</v>
      </c>
      <c r="BA241" t="s">
        <v>299</v>
      </c>
      <c r="BF241" t="s">
        <v>294</v>
      </c>
      <c r="BG241" t="s">
        <v>300</v>
      </c>
      <c r="BI241" t="s">
        <v>298</v>
      </c>
      <c r="BR241" t="s">
        <v>289</v>
      </c>
      <c r="BS241" t="s">
        <v>301</v>
      </c>
      <c r="BT241" t="s">
        <v>302</v>
      </c>
      <c r="BU241" t="s">
        <v>303</v>
      </c>
      <c r="BV241" t="s">
        <v>304</v>
      </c>
      <c r="BX241" t="s">
        <v>324</v>
      </c>
      <c r="BY241" t="s">
        <v>298</v>
      </c>
      <c r="BZ241" t="s">
        <v>1086</v>
      </c>
      <c r="CA241" t="s">
        <v>1087</v>
      </c>
      <c r="CC241" t="s">
        <v>308</v>
      </c>
      <c r="CD241" t="s">
        <v>309</v>
      </c>
      <c r="CE241" t="s">
        <v>294</v>
      </c>
      <c r="CH241" t="s">
        <v>304</v>
      </c>
      <c r="CI241" t="s">
        <v>304</v>
      </c>
      <c r="CK241" t="s">
        <v>335</v>
      </c>
      <c r="CM241" t="s">
        <v>875</v>
      </c>
      <c r="CN241" t="s">
        <v>328</v>
      </c>
      <c r="CO241" t="s">
        <v>312</v>
      </c>
      <c r="CT241" t="s">
        <v>294</v>
      </c>
      <c r="CU241" t="s">
        <v>405</v>
      </c>
      <c r="CW241" t="s">
        <v>406</v>
      </c>
      <c r="CX241" t="s">
        <v>316</v>
      </c>
      <c r="CZ241" t="s">
        <v>289</v>
      </c>
      <c r="DA241" t="s">
        <v>289</v>
      </c>
      <c r="DB241" t="s">
        <v>289</v>
      </c>
      <c r="DC241" t="s">
        <v>289</v>
      </c>
      <c r="DI241" t="s">
        <v>289</v>
      </c>
      <c r="DL241" t="s">
        <v>289</v>
      </c>
      <c r="DM241" t="s">
        <v>317</v>
      </c>
      <c r="DS241" t="s">
        <v>289</v>
      </c>
      <c r="DT241" t="s">
        <v>289</v>
      </c>
      <c r="DU241" t="s">
        <v>318</v>
      </c>
      <c r="DV241" t="s">
        <v>289</v>
      </c>
      <c r="DX241" t="s">
        <v>319</v>
      </c>
      <c r="EA241" t="s">
        <v>289</v>
      </c>
      <c r="EJ241" t="str">
        <f>"28"</f>
        <v>28</v>
      </c>
    </row>
    <row r="242" spans="1:140" x14ac:dyDescent="0.25">
      <c r="A242">
        <v>28383591</v>
      </c>
      <c r="B242">
        <v>364985</v>
      </c>
      <c r="C242" t="str">
        <f>"140716505143"</f>
        <v>140716505143</v>
      </c>
      <c r="D242" t="s">
        <v>1088</v>
      </c>
      <c r="E242" t="s">
        <v>733</v>
      </c>
      <c r="F242" t="s">
        <v>1089</v>
      </c>
      <c r="G242" s="1">
        <v>41836</v>
      </c>
      <c r="I242" t="s">
        <v>353</v>
      </c>
      <c r="J242" t="s">
        <v>287</v>
      </c>
      <c r="K242" t="s">
        <v>288</v>
      </c>
      <c r="Q242" t="s">
        <v>289</v>
      </c>
      <c r="R242" t="str">
        <f>"КАЗАХСТАН, АКМОЛИНСКАЯ, ЗЕРЕНДИНСКИЙ РАЙОН, Зерендинский, Коктерек, 5"</f>
        <v>КАЗАХСТАН, АКМОЛИНСКАЯ, ЗЕРЕНДИНСКИЙ РАЙОН, Зерендинский, Коктерек, 5</v>
      </c>
      <c r="S242" t="str">
        <f>"ҚАЗАҚСТАН, АҚМОЛА, ЗЕРЕНДІ АУДАНЫ, Зерендинский, Коктерек, 5"</f>
        <v>ҚАЗАҚСТАН, АҚМОЛА, ЗЕРЕНДІ АУДАНЫ, Зерендинский, Коктерек, 5</v>
      </c>
      <c r="T242" t="str">
        <f>"Зерендинский, Коктерек, 5"</f>
        <v>Зерендинский, Коктерек, 5</v>
      </c>
      <c r="U242" t="str">
        <f>"Зерендинский, Коктерек, 5"</f>
        <v>Зерендинский, Коктерек, 5</v>
      </c>
      <c r="AC242" t="str">
        <f>"2024-09-03T00:00:00"</f>
        <v>2024-09-03T00:00:00</v>
      </c>
      <c r="AD242" t="str">
        <f>"30"</f>
        <v>30</v>
      </c>
      <c r="AE242" t="str">
        <f>"2024-09-01T16:45:46"</f>
        <v>2024-09-01T16:45:46</v>
      </c>
      <c r="AF242" t="str">
        <f>"2025-05-25T16:45:46"</f>
        <v>2025-05-25T16:45:46</v>
      </c>
      <c r="AG242" t="s">
        <v>290</v>
      </c>
      <c r="AI242" t="s">
        <v>373</v>
      </c>
      <c r="AK242" t="s">
        <v>634</v>
      </c>
      <c r="AP242" t="s">
        <v>293</v>
      </c>
      <c r="AT242" t="s">
        <v>294</v>
      </c>
      <c r="AU242" t="s">
        <v>295</v>
      </c>
      <c r="AW242" t="s">
        <v>296</v>
      </c>
      <c r="AX242">
        <v>2</v>
      </c>
      <c r="AY242" t="s">
        <v>297</v>
      </c>
      <c r="AZ242" t="s">
        <v>298</v>
      </c>
      <c r="BA242" t="s">
        <v>796</v>
      </c>
      <c r="BF242" t="s">
        <v>289</v>
      </c>
      <c r="BI242" t="s">
        <v>298</v>
      </c>
      <c r="BR242" t="s">
        <v>289</v>
      </c>
      <c r="BS242" t="s">
        <v>301</v>
      </c>
      <c r="BT242" t="s">
        <v>302</v>
      </c>
      <c r="BU242" t="s">
        <v>303</v>
      </c>
      <c r="BV242" t="s">
        <v>365</v>
      </c>
      <c r="BX242" t="s">
        <v>305</v>
      </c>
      <c r="BY242" t="s">
        <v>298</v>
      </c>
      <c r="BZ242" t="s">
        <v>920</v>
      </c>
      <c r="CA242" t="s">
        <v>914</v>
      </c>
      <c r="CC242" t="s">
        <v>308</v>
      </c>
      <c r="CD242" t="s">
        <v>309</v>
      </c>
      <c r="CE242" t="s">
        <v>294</v>
      </c>
      <c r="CK242" t="s">
        <v>471</v>
      </c>
      <c r="CL242" t="s">
        <v>328</v>
      </c>
      <c r="CM242" t="s">
        <v>660</v>
      </c>
      <c r="CN242" t="s">
        <v>311</v>
      </c>
      <c r="CO242" t="s">
        <v>312</v>
      </c>
      <c r="CT242" t="s">
        <v>294</v>
      </c>
      <c r="CU242" t="s">
        <v>313</v>
      </c>
      <c r="CV242" t="s">
        <v>314</v>
      </c>
      <c r="CW242" t="s">
        <v>315</v>
      </c>
      <c r="CX242" t="s">
        <v>316</v>
      </c>
      <c r="CZ242" t="s">
        <v>289</v>
      </c>
      <c r="DA242" t="s">
        <v>289</v>
      </c>
      <c r="DB242" t="s">
        <v>289</v>
      </c>
      <c r="DC242" t="s">
        <v>289</v>
      </c>
      <c r="DI242" t="s">
        <v>289</v>
      </c>
      <c r="DL242" t="s">
        <v>289</v>
      </c>
      <c r="DM242" t="s">
        <v>317</v>
      </c>
      <c r="DS242" t="s">
        <v>289</v>
      </c>
      <c r="DT242" t="s">
        <v>289</v>
      </c>
      <c r="DU242" t="s">
        <v>318</v>
      </c>
      <c r="DV242" t="s">
        <v>289</v>
      </c>
      <c r="DX242" t="s">
        <v>368</v>
      </c>
      <c r="DY242" t="s">
        <v>369</v>
      </c>
      <c r="EA242" t="s">
        <v>294</v>
      </c>
    </row>
    <row r="243" spans="1:140" x14ac:dyDescent="0.25">
      <c r="A243">
        <v>28385799</v>
      </c>
      <c r="B243">
        <v>9757393</v>
      </c>
      <c r="C243" t="str">
        <f>"170420500278"</f>
        <v>170420500278</v>
      </c>
      <c r="D243" t="s">
        <v>1088</v>
      </c>
      <c r="E243" t="s">
        <v>1090</v>
      </c>
      <c r="F243" t="s">
        <v>1089</v>
      </c>
      <c r="G243" s="1">
        <v>42845</v>
      </c>
      <c r="I243" t="s">
        <v>353</v>
      </c>
      <c r="J243" t="s">
        <v>287</v>
      </c>
      <c r="K243" t="s">
        <v>288</v>
      </c>
      <c r="Q243" t="s">
        <v>289</v>
      </c>
      <c r="R243" t="str">
        <f>"КАЗАХСТАН, АКМОЛИНСКАЯ, ЗЕРЕНДИНСКИЙ РАЙОН, Зерендинский, Коктерек, 5"</f>
        <v>КАЗАХСТАН, АКМОЛИНСКАЯ, ЗЕРЕНДИНСКИЙ РАЙОН, Зерендинский, Коктерек, 5</v>
      </c>
      <c r="S243" t="str">
        <f>"ҚАЗАҚСТАН, АҚМОЛА, ЗЕРЕНДІ АУДАНЫ, Зерендинский, Коктерек, 5"</f>
        <v>ҚАЗАҚСТАН, АҚМОЛА, ЗЕРЕНДІ АУДАНЫ, Зерендинский, Коктерек, 5</v>
      </c>
      <c r="T243" t="str">
        <f>"Зерендинский, Коктерек, 5"</f>
        <v>Зерендинский, Коктерек, 5</v>
      </c>
      <c r="U243" t="str">
        <f>"Зерендинский, Коктерек, 5"</f>
        <v>Зерендинский, Коктерек, 5</v>
      </c>
      <c r="AC243" t="str">
        <f>"2024-09-03T00:00:00"</f>
        <v>2024-09-03T00:00:00</v>
      </c>
      <c r="AD243" t="str">
        <f>"30"</f>
        <v>30</v>
      </c>
      <c r="AE243" t="str">
        <f>"2024-09-01T17:31:25"</f>
        <v>2024-09-01T17:31:25</v>
      </c>
      <c r="AF243" t="str">
        <f>"2025-05-25T17:31:25"</f>
        <v>2025-05-25T17:31:25</v>
      </c>
      <c r="AG243" t="s">
        <v>290</v>
      </c>
      <c r="AI243" t="s">
        <v>373</v>
      </c>
      <c r="AK243" t="s">
        <v>866</v>
      </c>
      <c r="AP243" t="s">
        <v>342</v>
      </c>
      <c r="AT243" t="s">
        <v>294</v>
      </c>
      <c r="AU243" t="s">
        <v>295</v>
      </c>
      <c r="AW243" t="s">
        <v>296</v>
      </c>
      <c r="AX243">
        <v>2</v>
      </c>
      <c r="AY243" t="s">
        <v>297</v>
      </c>
      <c r="AZ243" t="s">
        <v>298</v>
      </c>
      <c r="BA243" t="s">
        <v>796</v>
      </c>
      <c r="BF243" t="s">
        <v>289</v>
      </c>
      <c r="BI243" t="s">
        <v>298</v>
      </c>
      <c r="BR243" t="s">
        <v>289</v>
      </c>
      <c r="BS243" t="s">
        <v>301</v>
      </c>
      <c r="BT243" t="s">
        <v>302</v>
      </c>
      <c r="BU243" t="s">
        <v>303</v>
      </c>
      <c r="BV243" t="s">
        <v>365</v>
      </c>
      <c r="BX243" t="s">
        <v>867</v>
      </c>
      <c r="BY243" t="s">
        <v>298</v>
      </c>
      <c r="CC243" t="s">
        <v>309</v>
      </c>
      <c r="CE243" t="s">
        <v>289</v>
      </c>
      <c r="CJ243" t="s">
        <v>704</v>
      </c>
      <c r="CK243" t="s">
        <v>497</v>
      </c>
      <c r="CL243" t="s">
        <v>328</v>
      </c>
      <c r="CM243" t="s">
        <v>298</v>
      </c>
      <c r="CO243" t="s">
        <v>312</v>
      </c>
      <c r="CT243" t="s">
        <v>294</v>
      </c>
      <c r="CU243" t="s">
        <v>313</v>
      </c>
      <c r="CV243" t="s">
        <v>314</v>
      </c>
      <c r="CW243" t="s">
        <v>315</v>
      </c>
      <c r="CX243" t="s">
        <v>316</v>
      </c>
      <c r="CZ243" t="s">
        <v>289</v>
      </c>
      <c r="DA243" t="s">
        <v>289</v>
      </c>
      <c r="DB243" t="s">
        <v>289</v>
      </c>
      <c r="DC243" t="s">
        <v>289</v>
      </c>
      <c r="DI243" t="s">
        <v>289</v>
      </c>
      <c r="DL243" t="s">
        <v>289</v>
      </c>
      <c r="DM243" t="s">
        <v>317</v>
      </c>
      <c r="DS243" t="s">
        <v>289</v>
      </c>
      <c r="DT243" t="s">
        <v>289</v>
      </c>
      <c r="DU243" t="s">
        <v>318</v>
      </c>
      <c r="DV243" t="s">
        <v>289</v>
      </c>
      <c r="DX243" t="s">
        <v>319</v>
      </c>
      <c r="EA243" t="s">
        <v>294</v>
      </c>
    </row>
    <row r="244" spans="1:140" x14ac:dyDescent="0.25">
      <c r="A244">
        <v>28405563</v>
      </c>
      <c r="B244">
        <v>147026</v>
      </c>
      <c r="C244" t="str">
        <f>"090307552121"</f>
        <v>090307552121</v>
      </c>
      <c r="D244" t="s">
        <v>440</v>
      </c>
      <c r="E244" t="s">
        <v>733</v>
      </c>
      <c r="F244" t="s">
        <v>442</v>
      </c>
      <c r="G244" s="1">
        <v>39879</v>
      </c>
      <c r="I244" t="s">
        <v>353</v>
      </c>
      <c r="J244" t="s">
        <v>287</v>
      </c>
      <c r="K244" t="s">
        <v>288</v>
      </c>
      <c r="Q244" t="s">
        <v>289</v>
      </c>
      <c r="R244" t="str">
        <f>"КАЗАХСТАН, АКМОЛИНСКАЯ, ЗЕРЕНДИНСКИЙ РАЙОН, ЗЕРЕНДА, 34, 1"</f>
        <v>КАЗАХСТАН, АКМОЛИНСКАЯ, ЗЕРЕНДИНСКИЙ РАЙОН, ЗЕРЕНДА, 34, 1</v>
      </c>
      <c r="S244" t="str">
        <f>"ҚАЗАҚСТАН, АҚМОЛА, ЗЕРЕНДІ АУДАНЫ, ЗЕРЕНДА, 34, 1"</f>
        <v>ҚАЗАҚСТАН, АҚМОЛА, ЗЕРЕНДІ АУДАНЫ, ЗЕРЕНДА, 34, 1</v>
      </c>
      <c r="T244" t="str">
        <f>"ЗЕРЕНДА, 34, 1"</f>
        <v>ЗЕРЕНДА, 34, 1</v>
      </c>
      <c r="U244" t="str">
        <f>"ЗЕРЕНДА, 34, 1"</f>
        <v>ЗЕРЕНДА, 34, 1</v>
      </c>
      <c r="AC244" t="str">
        <f>"2024-09-01T16:43:00"</f>
        <v>2024-09-01T16:43:00</v>
      </c>
      <c r="AD244" t="str">
        <f>"24"</f>
        <v>24</v>
      </c>
      <c r="AE244" t="str">
        <f>"2024-09-01T18:47:14"</f>
        <v>2024-09-01T18:47:14</v>
      </c>
      <c r="AF244" t="str">
        <f>"2025-05-25T18:47:14"</f>
        <v>2025-05-25T18:47:14</v>
      </c>
      <c r="AG244" t="s">
        <v>290</v>
      </c>
      <c r="AH244" t="str">
        <f>"baltabai9@mail.ru"</f>
        <v>baltabai9@mail.ru</v>
      </c>
      <c r="AI244" t="s">
        <v>291</v>
      </c>
      <c r="AK244" t="s">
        <v>1082</v>
      </c>
      <c r="AP244" t="s">
        <v>293</v>
      </c>
      <c r="AT244" t="s">
        <v>294</v>
      </c>
      <c r="AU244" t="s">
        <v>295</v>
      </c>
      <c r="AW244" t="s">
        <v>296</v>
      </c>
      <c r="AX244">
        <v>1</v>
      </c>
      <c r="AY244" t="s">
        <v>297</v>
      </c>
      <c r="AZ244" t="s">
        <v>298</v>
      </c>
      <c r="BA244" t="s">
        <v>349</v>
      </c>
      <c r="BE244" t="str">
        <f>"2020-11-03T20:35:54"</f>
        <v>2020-11-03T20:35:54</v>
      </c>
      <c r="BF244" t="s">
        <v>294</v>
      </c>
      <c r="BG244" t="s">
        <v>300</v>
      </c>
      <c r="BI244" t="s">
        <v>298</v>
      </c>
      <c r="BR244" t="s">
        <v>289</v>
      </c>
      <c r="BS244" t="s">
        <v>301</v>
      </c>
      <c r="BT244" t="s">
        <v>302</v>
      </c>
      <c r="BU244" t="s">
        <v>303</v>
      </c>
      <c r="BV244" t="s">
        <v>304</v>
      </c>
      <c r="BX244" t="s">
        <v>324</v>
      </c>
      <c r="BY244" t="s">
        <v>298</v>
      </c>
      <c r="BZ244" t="s">
        <v>1086</v>
      </c>
      <c r="CA244" t="s">
        <v>735</v>
      </c>
      <c r="CC244" t="s">
        <v>308</v>
      </c>
      <c r="CD244" t="s">
        <v>309</v>
      </c>
      <c r="CE244" t="s">
        <v>294</v>
      </c>
      <c r="CH244" t="s">
        <v>304</v>
      </c>
      <c r="CI244" t="s">
        <v>304</v>
      </c>
      <c r="CK244" t="s">
        <v>641</v>
      </c>
      <c r="CL244" t="s">
        <v>311</v>
      </c>
      <c r="CM244" t="s">
        <v>298</v>
      </c>
      <c r="CO244" t="s">
        <v>1091</v>
      </c>
      <c r="CP244" t="s">
        <v>1092</v>
      </c>
      <c r="CQ244" t="s">
        <v>674</v>
      </c>
      <c r="CR244" t="s">
        <v>675</v>
      </c>
      <c r="CS244" t="s">
        <v>1093</v>
      </c>
      <c r="CT244" t="s">
        <v>294</v>
      </c>
      <c r="CU244" t="s">
        <v>405</v>
      </c>
      <c r="CW244" t="s">
        <v>406</v>
      </c>
      <c r="CX244" t="s">
        <v>316</v>
      </c>
      <c r="CZ244" t="s">
        <v>289</v>
      </c>
      <c r="DA244" t="s">
        <v>289</v>
      </c>
      <c r="DB244" t="s">
        <v>289</v>
      </c>
      <c r="DC244" t="s">
        <v>289</v>
      </c>
      <c r="DI244" t="s">
        <v>289</v>
      </c>
      <c r="DL244" t="s">
        <v>289</v>
      </c>
      <c r="DM244" t="s">
        <v>317</v>
      </c>
      <c r="DS244" t="s">
        <v>289</v>
      </c>
      <c r="DT244" t="s">
        <v>289</v>
      </c>
      <c r="DU244" t="s">
        <v>318</v>
      </c>
      <c r="DV244" t="s">
        <v>289</v>
      </c>
      <c r="DX244" t="s">
        <v>319</v>
      </c>
      <c r="EA244" t="s">
        <v>294</v>
      </c>
      <c r="EJ244" t="str">
        <f>"7"</f>
        <v>7</v>
      </c>
    </row>
    <row r="245" spans="1:140" x14ac:dyDescent="0.25">
      <c r="A245">
        <v>28405565</v>
      </c>
      <c r="B245">
        <v>147171</v>
      </c>
      <c r="C245" t="str">
        <f>"081006550326"</f>
        <v>081006550326</v>
      </c>
      <c r="D245" t="s">
        <v>371</v>
      </c>
      <c r="E245" t="s">
        <v>913</v>
      </c>
      <c r="F245" t="s">
        <v>1094</v>
      </c>
      <c r="G245" s="1">
        <v>39727</v>
      </c>
      <c r="I245" t="s">
        <v>353</v>
      </c>
      <c r="J245" t="s">
        <v>287</v>
      </c>
      <c r="K245" t="s">
        <v>288</v>
      </c>
      <c r="Q245" t="s">
        <v>289</v>
      </c>
      <c r="R245" t="str">
        <f>"КАЗАХСТАН, АКМОЛИНСКАЯ, ЗЕРЕНДИНСКИЙ РАЙОН, Зерендинский, Зеренда, 31"</f>
        <v>КАЗАХСТАН, АКМОЛИНСКАЯ, ЗЕРЕНДИНСКИЙ РАЙОН, Зерендинский, Зеренда, 31</v>
      </c>
      <c r="S245" t="str">
        <f>"ҚАЗАҚСТАН, АҚМОЛА, ЗЕРЕНДІ АУДАНЫ, Зерендинский, Зеренда, 31"</f>
        <v>ҚАЗАҚСТАН, АҚМОЛА, ЗЕРЕНДІ АУДАНЫ, Зерендинский, Зеренда, 31</v>
      </c>
      <c r="T245" t="str">
        <f>"Зерендинский, Зеренда, 31"</f>
        <v>Зерендинский, Зеренда, 31</v>
      </c>
      <c r="U245" t="str">
        <f>"Зерендинский, Зеренда, 31"</f>
        <v>Зерендинский, Зеренда, 31</v>
      </c>
      <c r="AC245" t="str">
        <f>"2024-09-01T16:43:00"</f>
        <v>2024-09-01T16:43:00</v>
      </c>
      <c r="AD245" t="str">
        <f>"24"</f>
        <v>24</v>
      </c>
      <c r="AE245" t="str">
        <f>"2024-09-01T18:48:02"</f>
        <v>2024-09-01T18:48:02</v>
      </c>
      <c r="AF245" t="str">
        <f>"2025-05-25T18:48:02"</f>
        <v>2025-05-25T18:48:02</v>
      </c>
      <c r="AG245" t="s">
        <v>290</v>
      </c>
      <c r="AH245" t="str">
        <f>"malir08@mail.ru"</f>
        <v>malir08@mail.ru</v>
      </c>
      <c r="AI245" t="s">
        <v>291</v>
      </c>
      <c r="AK245" t="s">
        <v>1082</v>
      </c>
      <c r="AP245" t="s">
        <v>293</v>
      </c>
      <c r="AT245" t="s">
        <v>294</v>
      </c>
      <c r="AU245" t="s">
        <v>295</v>
      </c>
      <c r="AW245" t="s">
        <v>296</v>
      </c>
      <c r="AX245">
        <v>1</v>
      </c>
      <c r="AY245" t="s">
        <v>297</v>
      </c>
      <c r="AZ245" t="s">
        <v>298</v>
      </c>
      <c r="BA245" t="s">
        <v>299</v>
      </c>
      <c r="BF245" t="s">
        <v>294</v>
      </c>
      <c r="BG245" t="s">
        <v>300</v>
      </c>
      <c r="BI245" t="s">
        <v>298</v>
      </c>
      <c r="BR245" t="s">
        <v>289</v>
      </c>
      <c r="BS245" t="s">
        <v>301</v>
      </c>
      <c r="BT245" t="s">
        <v>302</v>
      </c>
      <c r="BU245" t="s">
        <v>303</v>
      </c>
      <c r="BV245" t="s">
        <v>304</v>
      </c>
      <c r="BX245" t="s">
        <v>305</v>
      </c>
      <c r="BY245" t="s">
        <v>298</v>
      </c>
      <c r="BZ245" t="s">
        <v>1086</v>
      </c>
      <c r="CA245" t="s">
        <v>1095</v>
      </c>
      <c r="CC245" t="s">
        <v>308</v>
      </c>
      <c r="CD245" t="s">
        <v>309</v>
      </c>
      <c r="CE245" t="s">
        <v>294</v>
      </c>
      <c r="CH245" t="s">
        <v>304</v>
      </c>
      <c r="CI245" t="s">
        <v>304</v>
      </c>
      <c r="CK245" t="s">
        <v>327</v>
      </c>
      <c r="CL245" t="s">
        <v>328</v>
      </c>
      <c r="CM245" t="s">
        <v>298</v>
      </c>
      <c r="CO245" t="s">
        <v>312</v>
      </c>
      <c r="CT245" t="s">
        <v>294</v>
      </c>
      <c r="CU245" t="s">
        <v>405</v>
      </c>
      <c r="CW245" t="s">
        <v>406</v>
      </c>
      <c r="CX245" t="s">
        <v>316</v>
      </c>
      <c r="CZ245" t="s">
        <v>289</v>
      </c>
      <c r="DA245" t="s">
        <v>289</v>
      </c>
      <c r="DB245" t="s">
        <v>289</v>
      </c>
      <c r="DC245" t="s">
        <v>289</v>
      </c>
      <c r="DI245" t="s">
        <v>289</v>
      </c>
      <c r="DL245" t="s">
        <v>289</v>
      </c>
      <c r="DM245" t="s">
        <v>317</v>
      </c>
      <c r="DS245" t="s">
        <v>289</v>
      </c>
      <c r="DT245" t="s">
        <v>289</v>
      </c>
      <c r="DU245" t="s">
        <v>318</v>
      </c>
      <c r="DV245" t="s">
        <v>289</v>
      </c>
      <c r="DX245" t="s">
        <v>319</v>
      </c>
      <c r="EA245" t="s">
        <v>289</v>
      </c>
      <c r="EJ245" t="str">
        <f>"20"</f>
        <v>20</v>
      </c>
    </row>
    <row r="246" spans="1:140" x14ac:dyDescent="0.25">
      <c r="A246">
        <v>28405569</v>
      </c>
      <c r="B246">
        <v>147196</v>
      </c>
      <c r="C246" t="str">
        <f>"080501650668"</f>
        <v>080501650668</v>
      </c>
      <c r="D246" t="s">
        <v>1096</v>
      </c>
      <c r="E246" t="s">
        <v>684</v>
      </c>
      <c r="F246" t="s">
        <v>1097</v>
      </c>
      <c r="G246" s="1">
        <v>39569</v>
      </c>
      <c r="I246" t="s">
        <v>286</v>
      </c>
      <c r="J246" t="s">
        <v>287</v>
      </c>
      <c r="K246" t="s">
        <v>288</v>
      </c>
      <c r="Q246" t="s">
        <v>289</v>
      </c>
      <c r="R246" t="str">
        <f>"КАЗАХСТАН, АКМОЛИНСКАЯ, ЗЕРЕНДИНСКИЙ РАЙОН, Зерендинский, Зеренда, 21, 2"</f>
        <v>КАЗАХСТАН, АКМОЛИНСКАЯ, ЗЕРЕНДИНСКИЙ РАЙОН, Зерендинский, Зеренда, 21, 2</v>
      </c>
      <c r="S246" t="str">
        <f>"ҚАЗАҚСТАН, АҚМОЛА, ЗЕРЕНДІ АУДАНЫ, Зерендинский, Зеренда, 21, 2"</f>
        <v>ҚАЗАҚСТАН, АҚМОЛА, ЗЕРЕНДІ АУДАНЫ, Зерендинский, Зеренда, 21, 2</v>
      </c>
      <c r="T246" t="str">
        <f>"Зерендинский, Зеренда, 21, 2"</f>
        <v>Зерендинский, Зеренда, 21, 2</v>
      </c>
      <c r="U246" t="str">
        <f>"Зерендинский, Зеренда, 21, 2"</f>
        <v>Зерендинский, Зеренда, 21, 2</v>
      </c>
      <c r="AC246" t="str">
        <f>"2024-09-01T16:43:00"</f>
        <v>2024-09-01T16:43:00</v>
      </c>
      <c r="AD246" t="str">
        <f>"24"</f>
        <v>24</v>
      </c>
      <c r="AE246" t="str">
        <f>"2024-09-01T18:41:25"</f>
        <v>2024-09-01T18:41:25</v>
      </c>
      <c r="AF246" t="str">
        <f>"2025-05-25T18:41:25"</f>
        <v>2025-05-25T18:41:25</v>
      </c>
      <c r="AG246" t="s">
        <v>290</v>
      </c>
      <c r="AH246" t="str">
        <f>"yalel08@mail.ru"</f>
        <v>yalel08@mail.ru</v>
      </c>
      <c r="AI246" t="s">
        <v>476</v>
      </c>
      <c r="AK246" t="s">
        <v>1082</v>
      </c>
      <c r="AP246" t="s">
        <v>342</v>
      </c>
      <c r="AT246" t="s">
        <v>294</v>
      </c>
      <c r="AU246" t="s">
        <v>295</v>
      </c>
      <c r="AW246" t="s">
        <v>296</v>
      </c>
      <c r="AX246">
        <v>1</v>
      </c>
      <c r="AY246" t="s">
        <v>297</v>
      </c>
      <c r="AZ246" t="s">
        <v>298</v>
      </c>
      <c r="BA246" t="s">
        <v>299</v>
      </c>
      <c r="BF246" t="s">
        <v>294</v>
      </c>
      <c r="BG246" t="s">
        <v>300</v>
      </c>
      <c r="BI246" t="s">
        <v>298</v>
      </c>
      <c r="BR246" t="s">
        <v>289</v>
      </c>
      <c r="BS246" t="s">
        <v>301</v>
      </c>
      <c r="BT246" t="s">
        <v>302</v>
      </c>
      <c r="BU246" t="s">
        <v>303</v>
      </c>
      <c r="BV246" t="s">
        <v>304</v>
      </c>
      <c r="BX246" t="s">
        <v>324</v>
      </c>
      <c r="BY246" t="s">
        <v>298</v>
      </c>
      <c r="BZ246" t="s">
        <v>1086</v>
      </c>
      <c r="CA246" t="s">
        <v>1098</v>
      </c>
      <c r="CC246" t="s">
        <v>308</v>
      </c>
      <c r="CD246" t="s">
        <v>309</v>
      </c>
      <c r="CE246" t="s">
        <v>294</v>
      </c>
      <c r="CH246" t="s">
        <v>304</v>
      </c>
      <c r="CI246" t="s">
        <v>304</v>
      </c>
      <c r="CK246" t="s">
        <v>335</v>
      </c>
      <c r="CM246" t="s">
        <v>875</v>
      </c>
      <c r="CN246" t="s">
        <v>328</v>
      </c>
      <c r="CO246" t="s">
        <v>312</v>
      </c>
      <c r="CT246" t="s">
        <v>294</v>
      </c>
      <c r="CU246" t="s">
        <v>405</v>
      </c>
      <c r="CW246" t="s">
        <v>406</v>
      </c>
      <c r="CX246" t="s">
        <v>316</v>
      </c>
      <c r="CZ246" t="s">
        <v>289</v>
      </c>
      <c r="DA246" t="s">
        <v>289</v>
      </c>
      <c r="DB246" t="s">
        <v>289</v>
      </c>
      <c r="DC246" t="s">
        <v>289</v>
      </c>
      <c r="DI246" t="s">
        <v>289</v>
      </c>
      <c r="DL246" t="s">
        <v>289</v>
      </c>
      <c r="DM246" t="s">
        <v>317</v>
      </c>
      <c r="DS246" t="s">
        <v>289</v>
      </c>
      <c r="DT246" t="s">
        <v>289</v>
      </c>
      <c r="DU246" t="s">
        <v>318</v>
      </c>
      <c r="DV246" t="s">
        <v>289</v>
      </c>
      <c r="DX246" t="s">
        <v>319</v>
      </c>
      <c r="EA246" t="s">
        <v>289</v>
      </c>
      <c r="EJ246" t="str">
        <f>"31"</f>
        <v>31</v>
      </c>
    </row>
    <row r="247" spans="1:140" x14ac:dyDescent="0.25">
      <c r="A247">
        <v>28405572</v>
      </c>
      <c r="B247">
        <v>147215</v>
      </c>
      <c r="C247" t="str">
        <f>"080227654592"</f>
        <v>080227654592</v>
      </c>
      <c r="D247" t="s">
        <v>1099</v>
      </c>
      <c r="E247" t="s">
        <v>1100</v>
      </c>
      <c r="F247" t="s">
        <v>1101</v>
      </c>
      <c r="G247" s="1">
        <v>39505</v>
      </c>
      <c r="I247" t="s">
        <v>286</v>
      </c>
      <c r="J247" t="s">
        <v>287</v>
      </c>
      <c r="K247" t="s">
        <v>288</v>
      </c>
      <c r="Q247" t="s">
        <v>289</v>
      </c>
      <c r="R247" t="str">
        <f>"КАЗАХСТАН, АКМОЛИНСКАЯ, ЗЕРЕНДИНСКИЙ РАЙОН, Зерендинский, Зеренда, 52, 2"</f>
        <v>КАЗАХСТАН, АКМОЛИНСКАЯ, ЗЕРЕНДИНСКИЙ РАЙОН, Зерендинский, Зеренда, 52, 2</v>
      </c>
      <c r="S247" t="str">
        <f>"ҚАЗАҚСТАН, АҚМОЛА, ЗЕРЕНДІ АУДАНЫ, Зерендинский, Зеренда, 52, 2"</f>
        <v>ҚАЗАҚСТАН, АҚМОЛА, ЗЕРЕНДІ АУДАНЫ, Зерендинский, Зеренда, 52, 2</v>
      </c>
      <c r="T247" t="str">
        <f>"Зерендинский, Зеренда, 52, 2"</f>
        <v>Зерендинский, Зеренда, 52, 2</v>
      </c>
      <c r="U247" t="str">
        <f>"Зерендинский, Зеренда, 52, 2"</f>
        <v>Зерендинский, Зеренда, 52, 2</v>
      </c>
      <c r="AC247" t="str">
        <f>"2024-09-01T16:43:00"</f>
        <v>2024-09-01T16:43:00</v>
      </c>
      <c r="AD247" t="str">
        <f>"24"</f>
        <v>24</v>
      </c>
      <c r="AE247" t="str">
        <f>"2024-09-01T18:48:39"</f>
        <v>2024-09-01T18:48:39</v>
      </c>
      <c r="AF247" t="str">
        <f>"2025-05-25T18:48:39"</f>
        <v>2025-05-25T18:48:39</v>
      </c>
      <c r="AG247" t="s">
        <v>290</v>
      </c>
      <c r="AH247" t="str">
        <f>"gasmin@mail.ru"</f>
        <v>gasmin@mail.ru</v>
      </c>
      <c r="AI247" t="s">
        <v>476</v>
      </c>
      <c r="AK247" t="s">
        <v>1082</v>
      </c>
      <c r="AP247" t="s">
        <v>293</v>
      </c>
      <c r="AT247" t="s">
        <v>294</v>
      </c>
      <c r="AU247" t="s">
        <v>295</v>
      </c>
      <c r="AW247" t="s">
        <v>296</v>
      </c>
      <c r="AX247">
        <v>1</v>
      </c>
      <c r="AY247" t="s">
        <v>297</v>
      </c>
      <c r="AZ247" t="s">
        <v>298</v>
      </c>
      <c r="BA247" t="s">
        <v>349</v>
      </c>
      <c r="BE247" t="str">
        <f>"2020-11-03T20:40:12"</f>
        <v>2020-11-03T20:40:12</v>
      </c>
      <c r="BF247" t="s">
        <v>294</v>
      </c>
      <c r="BG247" t="s">
        <v>300</v>
      </c>
      <c r="BI247" t="s">
        <v>298</v>
      </c>
      <c r="BR247" t="s">
        <v>289</v>
      </c>
      <c r="BS247" t="s">
        <v>301</v>
      </c>
      <c r="BT247" t="s">
        <v>302</v>
      </c>
      <c r="BU247" t="s">
        <v>303</v>
      </c>
      <c r="BV247" t="s">
        <v>304</v>
      </c>
      <c r="BX247" t="s">
        <v>305</v>
      </c>
      <c r="BY247" t="s">
        <v>298</v>
      </c>
      <c r="BZ247" t="s">
        <v>1086</v>
      </c>
      <c r="CA247" t="s">
        <v>454</v>
      </c>
      <c r="CC247" t="s">
        <v>308</v>
      </c>
      <c r="CD247" t="s">
        <v>309</v>
      </c>
      <c r="CE247" t="s">
        <v>294</v>
      </c>
      <c r="CH247" t="s">
        <v>304</v>
      </c>
      <c r="CI247" t="s">
        <v>304</v>
      </c>
      <c r="CK247" t="s">
        <v>455</v>
      </c>
      <c r="CL247" t="s">
        <v>328</v>
      </c>
      <c r="CM247" t="s">
        <v>298</v>
      </c>
      <c r="CO247" t="s">
        <v>312</v>
      </c>
      <c r="CT247" t="s">
        <v>294</v>
      </c>
      <c r="CU247" t="s">
        <v>405</v>
      </c>
      <c r="CW247" t="s">
        <v>406</v>
      </c>
      <c r="CX247" t="s">
        <v>316</v>
      </c>
      <c r="CZ247" t="s">
        <v>289</v>
      </c>
      <c r="DA247" t="s">
        <v>289</v>
      </c>
      <c r="DB247" t="s">
        <v>289</v>
      </c>
      <c r="DC247" t="s">
        <v>289</v>
      </c>
      <c r="DI247" t="s">
        <v>289</v>
      </c>
      <c r="DL247" t="s">
        <v>289</v>
      </c>
      <c r="DM247" t="s">
        <v>317</v>
      </c>
      <c r="DS247" t="s">
        <v>289</v>
      </c>
      <c r="DT247" t="s">
        <v>289</v>
      </c>
      <c r="DU247" t="s">
        <v>318</v>
      </c>
      <c r="DV247" t="s">
        <v>289</v>
      </c>
      <c r="DX247" t="s">
        <v>319</v>
      </c>
      <c r="EA247" t="s">
        <v>289</v>
      </c>
      <c r="EJ247" t="str">
        <f>"8"</f>
        <v>8</v>
      </c>
    </row>
    <row r="248" spans="1:140" x14ac:dyDescent="0.25">
      <c r="A248">
        <v>28405575</v>
      </c>
      <c r="B248">
        <v>147334</v>
      </c>
      <c r="C248" t="str">
        <f>"090120552311"</f>
        <v>090120552311</v>
      </c>
      <c r="D248" t="s">
        <v>1102</v>
      </c>
      <c r="E248" t="s">
        <v>776</v>
      </c>
      <c r="F248" t="s">
        <v>1103</v>
      </c>
      <c r="G248" s="1">
        <v>39833</v>
      </c>
      <c r="I248" t="s">
        <v>353</v>
      </c>
      <c r="J248" t="s">
        <v>287</v>
      </c>
      <c r="K248" t="s">
        <v>288</v>
      </c>
      <c r="Q248" t="s">
        <v>289</v>
      </c>
      <c r="R248" t="str">
        <f>"КАЗАХСТАН, АКМОЛИНСКАЯ, ЗЕРЕНДИНСКИЙ РАЙОН, Зерендинский, Зеренда, 57"</f>
        <v>КАЗАХСТАН, АКМОЛИНСКАЯ, ЗЕРЕНДИНСКИЙ РАЙОН, Зерендинский, Зеренда, 57</v>
      </c>
      <c r="S248" t="str">
        <f>"ҚАЗАҚСТАН, АҚМОЛА, ЗЕРЕНДІ АУДАНЫ, Зерендинский, Зеренда, 57"</f>
        <v>ҚАЗАҚСТАН, АҚМОЛА, ЗЕРЕНДІ АУДАНЫ, Зерендинский, Зеренда, 57</v>
      </c>
      <c r="T248" t="str">
        <f>"Зерендинский, Зеренда, 57"</f>
        <v>Зерендинский, Зеренда, 57</v>
      </c>
      <c r="U248" t="str">
        <f>"Зерендинский, Зеренда, 57"</f>
        <v>Зерендинский, Зеренда, 57</v>
      </c>
      <c r="AC248" t="str">
        <f>"2024-09-01T16:43:00"</f>
        <v>2024-09-01T16:43:00</v>
      </c>
      <c r="AD248" t="str">
        <f>"24"</f>
        <v>24</v>
      </c>
      <c r="AE248" t="str">
        <f>"2024-09-01T18:42:12"</f>
        <v>2024-09-01T18:42:12</v>
      </c>
      <c r="AF248" t="str">
        <f>"2025-05-25T18:42:12"</f>
        <v>2025-05-25T18:42:12</v>
      </c>
      <c r="AG248" t="s">
        <v>290</v>
      </c>
      <c r="AH248" t="str">
        <f>"Dosim@mail.ru"</f>
        <v>Dosim@mail.ru</v>
      </c>
      <c r="AI248" t="s">
        <v>476</v>
      </c>
      <c r="AK248" t="s">
        <v>1082</v>
      </c>
      <c r="AP248" t="s">
        <v>342</v>
      </c>
      <c r="AT248" t="s">
        <v>294</v>
      </c>
      <c r="AU248" t="s">
        <v>295</v>
      </c>
      <c r="AW248" t="s">
        <v>296</v>
      </c>
      <c r="AX248">
        <v>1</v>
      </c>
      <c r="AY248" t="s">
        <v>297</v>
      </c>
      <c r="AZ248" t="s">
        <v>298</v>
      </c>
      <c r="BA248" t="s">
        <v>299</v>
      </c>
      <c r="BF248" t="s">
        <v>294</v>
      </c>
      <c r="BG248" t="s">
        <v>300</v>
      </c>
      <c r="BI248" t="s">
        <v>298</v>
      </c>
      <c r="BR248" t="s">
        <v>289</v>
      </c>
      <c r="BS248" t="s">
        <v>301</v>
      </c>
      <c r="BT248" t="s">
        <v>302</v>
      </c>
      <c r="BU248" t="s">
        <v>303</v>
      </c>
      <c r="BV248" t="s">
        <v>304</v>
      </c>
      <c r="BX248" t="s">
        <v>324</v>
      </c>
      <c r="BY248" t="s">
        <v>298</v>
      </c>
      <c r="BZ248" t="s">
        <v>1086</v>
      </c>
      <c r="CA248" t="s">
        <v>410</v>
      </c>
      <c r="CC248" t="s">
        <v>308</v>
      </c>
      <c r="CD248" t="s">
        <v>309</v>
      </c>
      <c r="CE248" t="s">
        <v>294</v>
      </c>
      <c r="CH248" t="s">
        <v>304</v>
      </c>
      <c r="CI248" t="s">
        <v>304</v>
      </c>
      <c r="CK248" t="s">
        <v>455</v>
      </c>
      <c r="CL248" t="s">
        <v>328</v>
      </c>
      <c r="CM248" t="s">
        <v>298</v>
      </c>
      <c r="CO248" t="s">
        <v>312</v>
      </c>
      <c r="CT248" t="s">
        <v>294</v>
      </c>
      <c r="CU248" t="s">
        <v>405</v>
      </c>
      <c r="CW248" t="s">
        <v>406</v>
      </c>
      <c r="CX248" t="s">
        <v>316</v>
      </c>
      <c r="CZ248" t="s">
        <v>289</v>
      </c>
      <c r="DA248" t="s">
        <v>289</v>
      </c>
      <c r="DB248" t="s">
        <v>289</v>
      </c>
      <c r="DC248" t="s">
        <v>289</v>
      </c>
      <c r="DI248" t="s">
        <v>289</v>
      </c>
      <c r="DL248" t="s">
        <v>289</v>
      </c>
      <c r="DM248" t="s">
        <v>317</v>
      </c>
      <c r="DS248" t="s">
        <v>289</v>
      </c>
      <c r="DT248" t="s">
        <v>289</v>
      </c>
      <c r="DU248" t="s">
        <v>318</v>
      </c>
      <c r="DV248" t="s">
        <v>289</v>
      </c>
      <c r="DX248" t="s">
        <v>319</v>
      </c>
      <c r="EA248" t="s">
        <v>289</v>
      </c>
      <c r="EJ248" t="str">
        <f>"10"</f>
        <v>10</v>
      </c>
    </row>
    <row r="249" spans="1:140" x14ac:dyDescent="0.25">
      <c r="A249">
        <v>28405588</v>
      </c>
      <c r="B249">
        <v>147351</v>
      </c>
      <c r="C249" t="str">
        <f>"090611653543"</f>
        <v>090611653543</v>
      </c>
      <c r="D249" t="s">
        <v>599</v>
      </c>
      <c r="E249" t="s">
        <v>1104</v>
      </c>
      <c r="F249" t="s">
        <v>600</v>
      </c>
      <c r="G249" s="1">
        <v>39975</v>
      </c>
      <c r="I249" t="s">
        <v>286</v>
      </c>
      <c r="J249" t="s">
        <v>287</v>
      </c>
      <c r="K249" t="s">
        <v>288</v>
      </c>
      <c r="Q249" t="s">
        <v>289</v>
      </c>
      <c r="R249" t="str">
        <f>"КАЗАХСТАН, АКМОЛИНСКАЯ, ЗЕРЕНДИНСКИЙ РАЙОН, Зерендинский, Зеренда, 3, 4"</f>
        <v>КАЗАХСТАН, АКМОЛИНСКАЯ, ЗЕРЕНДИНСКИЙ РАЙОН, Зерендинский, Зеренда, 3, 4</v>
      </c>
      <c r="S249" t="str">
        <f>"ҚАЗАҚСТАН, АҚМОЛА, ЗЕРЕНДІ АУДАНЫ, Зерендинский, Зеренда, 3, 4"</f>
        <v>ҚАЗАҚСТАН, АҚМОЛА, ЗЕРЕНДІ АУДАНЫ, Зерендинский, Зеренда, 3, 4</v>
      </c>
      <c r="T249" t="str">
        <f>"Зерендинский, Зеренда, 3, 4"</f>
        <v>Зерендинский, Зеренда, 3, 4</v>
      </c>
      <c r="U249" t="str">
        <f>"Зерендинский, Зеренда, 3, 4"</f>
        <v>Зерендинский, Зеренда, 3, 4</v>
      </c>
      <c r="AC249" t="str">
        <f>"2024-09-01T16:43:00"</f>
        <v>2024-09-01T16:43:00</v>
      </c>
      <c r="AD249" t="str">
        <f>"24"</f>
        <v>24</v>
      </c>
      <c r="AE249" t="str">
        <f>"2024-09-01T18:49:20"</f>
        <v>2024-09-01T18:49:20</v>
      </c>
      <c r="AF249" t="str">
        <f>"2025-05-25T18:49:20"</f>
        <v>2025-05-25T18:49:20</v>
      </c>
      <c r="AG249" t="s">
        <v>290</v>
      </c>
      <c r="AH249" t="str">
        <f>"adelina@mail.ru"</f>
        <v>adelina@mail.ru</v>
      </c>
      <c r="AI249" t="s">
        <v>476</v>
      </c>
      <c r="AK249" t="s">
        <v>1082</v>
      </c>
      <c r="AP249" t="s">
        <v>293</v>
      </c>
      <c r="AT249" t="s">
        <v>294</v>
      </c>
      <c r="AU249" t="s">
        <v>295</v>
      </c>
      <c r="AW249" t="s">
        <v>296</v>
      </c>
      <c r="AX249">
        <v>1</v>
      </c>
      <c r="AY249" t="s">
        <v>297</v>
      </c>
      <c r="AZ249" t="s">
        <v>298</v>
      </c>
      <c r="BA249" t="s">
        <v>490</v>
      </c>
      <c r="BE249" t="str">
        <f>"2020-08-26T15:57:30"</f>
        <v>2020-08-26T15:57:30</v>
      </c>
      <c r="BF249" t="s">
        <v>294</v>
      </c>
      <c r="BG249" t="s">
        <v>300</v>
      </c>
      <c r="BI249" t="s">
        <v>298</v>
      </c>
      <c r="BR249" t="s">
        <v>289</v>
      </c>
      <c r="BS249" t="s">
        <v>301</v>
      </c>
      <c r="BT249" t="s">
        <v>302</v>
      </c>
      <c r="BU249" t="s">
        <v>303</v>
      </c>
      <c r="BV249" t="s">
        <v>365</v>
      </c>
      <c r="BX249" t="s">
        <v>305</v>
      </c>
      <c r="BY249" t="s">
        <v>298</v>
      </c>
      <c r="BZ249" t="s">
        <v>1086</v>
      </c>
      <c r="CA249" t="s">
        <v>1105</v>
      </c>
      <c r="CC249" t="s">
        <v>308</v>
      </c>
      <c r="CD249" t="s">
        <v>309</v>
      </c>
      <c r="CE249" t="s">
        <v>294</v>
      </c>
      <c r="CH249" t="s">
        <v>304</v>
      </c>
      <c r="CI249" t="s">
        <v>304</v>
      </c>
      <c r="CK249" t="s">
        <v>467</v>
      </c>
      <c r="CL249" t="s">
        <v>328</v>
      </c>
      <c r="CM249" t="s">
        <v>298</v>
      </c>
      <c r="CO249" t="s">
        <v>312</v>
      </c>
      <c r="CT249" t="s">
        <v>294</v>
      </c>
      <c r="CU249" t="s">
        <v>405</v>
      </c>
      <c r="CW249" t="s">
        <v>406</v>
      </c>
      <c r="CX249" t="s">
        <v>316</v>
      </c>
      <c r="CZ249" t="s">
        <v>289</v>
      </c>
      <c r="DA249" t="s">
        <v>289</v>
      </c>
      <c r="DB249" t="s">
        <v>289</v>
      </c>
      <c r="DC249" t="s">
        <v>289</v>
      </c>
      <c r="DI249" t="s">
        <v>289</v>
      </c>
      <c r="DL249" t="s">
        <v>289</v>
      </c>
      <c r="DM249" t="s">
        <v>1106</v>
      </c>
      <c r="DN249" t="s">
        <v>304</v>
      </c>
      <c r="DS249" t="s">
        <v>289</v>
      </c>
      <c r="DT249" t="s">
        <v>289</v>
      </c>
      <c r="DU249" t="s">
        <v>318</v>
      </c>
      <c r="DV249" t="s">
        <v>289</v>
      </c>
      <c r="DW249" t="s">
        <v>601</v>
      </c>
      <c r="DX249" t="s">
        <v>368</v>
      </c>
      <c r="DY249" t="s">
        <v>472</v>
      </c>
      <c r="DZ249" t="s">
        <v>473</v>
      </c>
      <c r="EA249" t="s">
        <v>294</v>
      </c>
      <c r="EJ249" t="str">
        <f>"12"</f>
        <v>12</v>
      </c>
    </row>
    <row r="250" spans="1:140" x14ac:dyDescent="0.25">
      <c r="A250">
        <v>28405811</v>
      </c>
      <c r="B250">
        <v>84313</v>
      </c>
      <c r="C250" t="str">
        <f>"090611552747"</f>
        <v>090611552747</v>
      </c>
      <c r="D250" t="s">
        <v>440</v>
      </c>
      <c r="E250" t="s">
        <v>1107</v>
      </c>
      <c r="F250" t="s">
        <v>890</v>
      </c>
      <c r="G250" s="1">
        <v>39975</v>
      </c>
      <c r="I250" t="s">
        <v>353</v>
      </c>
      <c r="J250" t="s">
        <v>287</v>
      </c>
      <c r="K250" t="s">
        <v>288</v>
      </c>
      <c r="Q250" t="s">
        <v>289</v>
      </c>
      <c r="R250" t="str">
        <f>"КАЗАХСТАН, АКМОЛИНСКАЯ, ЗЕРЕНДИНСКИЙ РАЙОН, Троицкий, Карсак, 12"</f>
        <v>КАЗАХСТАН, АКМОЛИНСКАЯ, ЗЕРЕНДИНСКИЙ РАЙОН, Троицкий, Карсак, 12</v>
      </c>
      <c r="S250" t="str">
        <f>"ҚАЗАҚСТАН, АҚМОЛА, ЗЕРЕНДІ АУДАНЫ, Троицкий, Карсак, 12"</f>
        <v>ҚАЗАҚСТАН, АҚМОЛА, ЗЕРЕНДІ АУДАНЫ, Троицкий, Карсак, 12</v>
      </c>
      <c r="T250" t="str">
        <f>"Троицкий, Карсак, 12"</f>
        <v>Троицкий, Карсак, 12</v>
      </c>
      <c r="U250" t="str">
        <f>"Троицкий, Карсак, 12"</f>
        <v>Троицкий, Карсак, 12</v>
      </c>
      <c r="AC250" t="str">
        <f>"2024-09-01T00:00:00"</f>
        <v>2024-09-01T00:00:00</v>
      </c>
      <c r="AD250" t="str">
        <f>"24"</f>
        <v>24</v>
      </c>
      <c r="AE250" t="str">
        <f>"2024-09-01T18:50:27"</f>
        <v>2024-09-01T18:50:27</v>
      </c>
      <c r="AF250" t="str">
        <f>"2025-05-25T18:50:27"</f>
        <v>2025-05-25T18:50:27</v>
      </c>
      <c r="AG250" t="s">
        <v>290</v>
      </c>
      <c r="AH250" t="str">
        <f>"Bei@mail.ru"</f>
        <v>Bei@mail.ru</v>
      </c>
      <c r="AI250" t="s">
        <v>476</v>
      </c>
      <c r="AK250" t="s">
        <v>1082</v>
      </c>
      <c r="AP250" t="s">
        <v>293</v>
      </c>
      <c r="AT250" t="s">
        <v>294</v>
      </c>
      <c r="AU250" t="s">
        <v>295</v>
      </c>
      <c r="AW250" t="s">
        <v>296</v>
      </c>
      <c r="AX250">
        <v>1</v>
      </c>
      <c r="AY250" t="s">
        <v>297</v>
      </c>
      <c r="AZ250" t="s">
        <v>298</v>
      </c>
      <c r="BA250" t="s">
        <v>349</v>
      </c>
      <c r="BF250" t="s">
        <v>294</v>
      </c>
      <c r="BG250" t="s">
        <v>300</v>
      </c>
      <c r="BI250" t="s">
        <v>298</v>
      </c>
      <c r="BR250" t="s">
        <v>289</v>
      </c>
      <c r="BS250" t="s">
        <v>433</v>
      </c>
      <c r="BT250" t="s">
        <v>434</v>
      </c>
      <c r="BU250" t="s">
        <v>303</v>
      </c>
      <c r="BV250" t="s">
        <v>365</v>
      </c>
      <c r="BX250" t="s">
        <v>305</v>
      </c>
      <c r="BY250" t="s">
        <v>298</v>
      </c>
      <c r="BZ250" t="s">
        <v>1086</v>
      </c>
      <c r="CA250" t="s">
        <v>1108</v>
      </c>
      <c r="CC250" t="s">
        <v>308</v>
      </c>
      <c r="CD250" t="s">
        <v>309</v>
      </c>
      <c r="CE250" t="s">
        <v>294</v>
      </c>
      <c r="CH250" t="s">
        <v>304</v>
      </c>
      <c r="CI250" t="s">
        <v>304</v>
      </c>
      <c r="CK250" t="s">
        <v>455</v>
      </c>
      <c r="CL250" t="s">
        <v>328</v>
      </c>
      <c r="CM250" t="s">
        <v>298</v>
      </c>
      <c r="CO250" t="s">
        <v>312</v>
      </c>
      <c r="CT250" t="s">
        <v>294</v>
      </c>
      <c r="CU250" t="s">
        <v>405</v>
      </c>
      <c r="CW250" t="s">
        <v>406</v>
      </c>
      <c r="CX250" t="s">
        <v>316</v>
      </c>
      <c r="CZ250" t="s">
        <v>289</v>
      </c>
      <c r="DA250" t="s">
        <v>289</v>
      </c>
      <c r="DB250" t="s">
        <v>289</v>
      </c>
      <c r="DC250" t="s">
        <v>289</v>
      </c>
      <c r="DI250" t="s">
        <v>289</v>
      </c>
      <c r="DL250" t="s">
        <v>289</v>
      </c>
      <c r="DM250" t="s">
        <v>317</v>
      </c>
      <c r="DS250" t="s">
        <v>289</v>
      </c>
      <c r="DT250" t="s">
        <v>289</v>
      </c>
      <c r="DU250" t="s">
        <v>318</v>
      </c>
      <c r="DV250" t="s">
        <v>289</v>
      </c>
      <c r="DX250" t="s">
        <v>368</v>
      </c>
      <c r="DY250" t="s">
        <v>472</v>
      </c>
      <c r="DZ250" t="s">
        <v>473</v>
      </c>
      <c r="EA250" t="s">
        <v>294</v>
      </c>
      <c r="EJ250" t="str">
        <f>"6"</f>
        <v>6</v>
      </c>
    </row>
    <row r="251" spans="1:140" x14ac:dyDescent="0.25">
      <c r="A251">
        <v>28405818</v>
      </c>
      <c r="B251">
        <v>81293</v>
      </c>
      <c r="C251" t="str">
        <f>"090819650400"</f>
        <v>090819650400</v>
      </c>
      <c r="D251" t="s">
        <v>1109</v>
      </c>
      <c r="E251" t="s">
        <v>1110</v>
      </c>
      <c r="F251" t="s">
        <v>1111</v>
      </c>
      <c r="G251" s="1">
        <v>40044</v>
      </c>
      <c r="I251" t="s">
        <v>286</v>
      </c>
      <c r="J251" t="s">
        <v>287</v>
      </c>
      <c r="K251" t="s">
        <v>288</v>
      </c>
      <c r="Q251" t="s">
        <v>289</v>
      </c>
      <c r="R251" t="str">
        <f>"КАЗАХСТАН, АКМОЛИНСКАЯ, ЗЕРЕНДИНСКИЙ РАЙОН, Троицкий, Кошкарбай, 26"</f>
        <v>КАЗАХСТАН, АКМОЛИНСКАЯ, ЗЕРЕНДИНСКИЙ РАЙОН, Троицкий, Кошкарбай, 26</v>
      </c>
      <c r="S251" t="str">
        <f>"ҚАЗАҚСТАН, АҚМОЛА, ЗЕРЕНДІ АУДАНЫ, Троицкий, Кошкарбай, 26"</f>
        <v>ҚАЗАҚСТАН, АҚМОЛА, ЗЕРЕНДІ АУДАНЫ, Троицкий, Кошкарбай, 26</v>
      </c>
      <c r="T251" t="str">
        <f>"Троицкий, Кошкарбай, 26"</f>
        <v>Троицкий, Кошкарбай, 26</v>
      </c>
      <c r="U251" t="str">
        <f>"Троицкий, Кошкарбай, 26"</f>
        <v>Троицкий, Кошкарбай, 26</v>
      </c>
      <c r="AC251" t="str">
        <f>"2024-09-01T00:00:00"</f>
        <v>2024-09-01T00:00:00</v>
      </c>
      <c r="AD251" t="str">
        <f>"24"</f>
        <v>24</v>
      </c>
      <c r="AE251" t="str">
        <f>"2024-09-01T18:51:30"</f>
        <v>2024-09-01T18:51:30</v>
      </c>
      <c r="AF251" t="str">
        <f>"2025-05-25T18:51:30"</f>
        <v>2025-05-25T18:51:30</v>
      </c>
      <c r="AG251" t="s">
        <v>290</v>
      </c>
      <c r="AH251" t="str">
        <f>"man@mail.ru"</f>
        <v>man@mail.ru</v>
      </c>
      <c r="AI251" t="s">
        <v>476</v>
      </c>
      <c r="AK251" t="s">
        <v>1082</v>
      </c>
      <c r="AP251" t="s">
        <v>293</v>
      </c>
      <c r="AT251" t="s">
        <v>294</v>
      </c>
      <c r="AU251" t="s">
        <v>295</v>
      </c>
      <c r="AW251" t="s">
        <v>296</v>
      </c>
      <c r="AX251">
        <v>1</v>
      </c>
      <c r="AY251" t="s">
        <v>297</v>
      </c>
      <c r="AZ251" t="s">
        <v>298</v>
      </c>
      <c r="BA251" t="s">
        <v>323</v>
      </c>
      <c r="BF251" t="s">
        <v>294</v>
      </c>
      <c r="BG251" t="s">
        <v>300</v>
      </c>
      <c r="BI251" t="s">
        <v>298</v>
      </c>
      <c r="BR251" t="s">
        <v>289</v>
      </c>
      <c r="BS251" t="s">
        <v>433</v>
      </c>
      <c r="BT251" t="s">
        <v>434</v>
      </c>
      <c r="BU251" t="s">
        <v>303</v>
      </c>
      <c r="BV251" t="s">
        <v>304</v>
      </c>
      <c r="BX251" t="s">
        <v>324</v>
      </c>
      <c r="BY251" t="s">
        <v>298</v>
      </c>
      <c r="BZ251" t="s">
        <v>1086</v>
      </c>
      <c r="CA251" t="s">
        <v>410</v>
      </c>
      <c r="CC251" t="s">
        <v>308</v>
      </c>
      <c r="CD251" t="s">
        <v>309</v>
      </c>
      <c r="CE251" t="s">
        <v>294</v>
      </c>
      <c r="CH251" t="s">
        <v>304</v>
      </c>
      <c r="CI251" t="s">
        <v>304</v>
      </c>
      <c r="CK251" t="s">
        <v>1112</v>
      </c>
      <c r="CL251" t="s">
        <v>345</v>
      </c>
      <c r="CM251" t="s">
        <v>698</v>
      </c>
      <c r="CN251" t="s">
        <v>328</v>
      </c>
      <c r="CO251" t="s">
        <v>672</v>
      </c>
      <c r="CP251" t="s">
        <v>673</v>
      </c>
      <c r="CQ251" t="s">
        <v>750</v>
      </c>
      <c r="CR251" t="s">
        <v>675</v>
      </c>
      <c r="CS251" t="s">
        <v>1113</v>
      </c>
      <c r="CT251" t="s">
        <v>294</v>
      </c>
      <c r="CU251" t="s">
        <v>405</v>
      </c>
      <c r="CW251" t="s">
        <v>406</v>
      </c>
      <c r="CX251" t="s">
        <v>316</v>
      </c>
      <c r="CZ251" t="s">
        <v>289</v>
      </c>
      <c r="DA251" t="s">
        <v>289</v>
      </c>
      <c r="DB251" t="s">
        <v>289</v>
      </c>
      <c r="DC251" t="s">
        <v>289</v>
      </c>
      <c r="DI251" t="s">
        <v>289</v>
      </c>
      <c r="DL251" t="s">
        <v>289</v>
      </c>
      <c r="DM251" t="s">
        <v>317</v>
      </c>
      <c r="DS251" t="s">
        <v>289</v>
      </c>
      <c r="DT251" t="s">
        <v>289</v>
      </c>
      <c r="DU251" t="s">
        <v>318</v>
      </c>
      <c r="DV251" t="s">
        <v>289</v>
      </c>
      <c r="DX251" t="s">
        <v>319</v>
      </c>
      <c r="EA251" t="s">
        <v>289</v>
      </c>
      <c r="EJ251" t="str">
        <f>"17"</f>
        <v>17</v>
      </c>
    </row>
    <row r="252" spans="1:140" x14ac:dyDescent="0.25">
      <c r="A252">
        <v>28405827</v>
      </c>
      <c r="B252">
        <v>141129</v>
      </c>
      <c r="C252" t="str">
        <f>"080907650724"</f>
        <v>080907650724</v>
      </c>
      <c r="D252" t="s">
        <v>1114</v>
      </c>
      <c r="E252" t="s">
        <v>1115</v>
      </c>
      <c r="F252" t="s">
        <v>1116</v>
      </c>
      <c r="G252" s="1">
        <v>39698</v>
      </c>
      <c r="I252" t="s">
        <v>286</v>
      </c>
      <c r="J252" t="s">
        <v>287</v>
      </c>
      <c r="K252" t="s">
        <v>288</v>
      </c>
      <c r="Q252" t="s">
        <v>289</v>
      </c>
      <c r="R252" t="str">
        <f>"КАЗАХСТАН, АКМОЛИНСКАЯ, ЗЕРЕНДИНСКИЙ РАЙОН, Зерендинский, Зеренда, 80, 17"</f>
        <v>КАЗАХСТАН, АКМОЛИНСКАЯ, ЗЕРЕНДИНСКИЙ РАЙОН, Зерендинский, Зеренда, 80, 17</v>
      </c>
      <c r="S252" t="str">
        <f>"ҚАЗАҚСТАН, АҚМОЛА, ЗЕРЕНДІ АУДАНЫ, Зерендинский, Зеренда, 80, 17"</f>
        <v>ҚАЗАҚСТАН, АҚМОЛА, ЗЕРЕНДІ АУДАНЫ, Зерендинский, Зеренда, 80, 17</v>
      </c>
      <c r="T252" t="str">
        <f>"Зерендинский, Зеренда, 80, 17"</f>
        <v>Зерендинский, Зеренда, 80, 17</v>
      </c>
      <c r="U252" t="str">
        <f>"Зерендинский, Зеренда, 80, 17"</f>
        <v>Зерендинский, Зеренда, 80, 17</v>
      </c>
      <c r="AC252" t="str">
        <f>"2024-09-01T00:00:00"</f>
        <v>2024-09-01T00:00:00</v>
      </c>
      <c r="AD252" t="str">
        <f>"24"</f>
        <v>24</v>
      </c>
      <c r="AE252" t="str">
        <f>"2024-09-01T18:42:51"</f>
        <v>2024-09-01T18:42:51</v>
      </c>
      <c r="AF252" t="str">
        <f>"2025-05-25T18:42:51"</f>
        <v>2025-05-25T18:42:51</v>
      </c>
      <c r="AG252" t="s">
        <v>290</v>
      </c>
      <c r="AH252" t="str">
        <f>"Ade@mail.ru"</f>
        <v>Ade@mail.ru</v>
      </c>
      <c r="AI252" t="s">
        <v>476</v>
      </c>
      <c r="AK252" t="s">
        <v>1082</v>
      </c>
      <c r="AP252" t="s">
        <v>342</v>
      </c>
      <c r="AT252" t="s">
        <v>294</v>
      </c>
      <c r="AU252" t="s">
        <v>295</v>
      </c>
      <c r="AW252" t="s">
        <v>296</v>
      </c>
      <c r="AX252">
        <v>1</v>
      </c>
      <c r="AY252" t="s">
        <v>297</v>
      </c>
      <c r="AZ252" t="s">
        <v>298</v>
      </c>
      <c r="BA252" t="s">
        <v>323</v>
      </c>
      <c r="BF252" t="s">
        <v>294</v>
      </c>
      <c r="BG252" t="s">
        <v>300</v>
      </c>
      <c r="BI252" t="s">
        <v>298</v>
      </c>
      <c r="BR252" t="s">
        <v>289</v>
      </c>
      <c r="BS252" t="s">
        <v>301</v>
      </c>
      <c r="BT252" t="s">
        <v>302</v>
      </c>
      <c r="BU252" t="s">
        <v>303</v>
      </c>
      <c r="BV252" t="s">
        <v>304</v>
      </c>
      <c r="BX252" t="s">
        <v>324</v>
      </c>
      <c r="BY252" t="s">
        <v>298</v>
      </c>
      <c r="BZ252" t="s">
        <v>403</v>
      </c>
      <c r="CA252" t="s">
        <v>1117</v>
      </c>
      <c r="CC252" t="s">
        <v>308</v>
      </c>
      <c r="CD252" t="s">
        <v>309</v>
      </c>
      <c r="CE252" t="s">
        <v>294</v>
      </c>
      <c r="CH252" t="s">
        <v>304</v>
      </c>
      <c r="CI252" t="s">
        <v>304</v>
      </c>
      <c r="CK252" t="s">
        <v>455</v>
      </c>
      <c r="CL252" t="s">
        <v>328</v>
      </c>
      <c r="CM252" t="s">
        <v>298</v>
      </c>
      <c r="CO252" t="s">
        <v>312</v>
      </c>
      <c r="CT252" t="s">
        <v>294</v>
      </c>
      <c r="CU252" t="s">
        <v>405</v>
      </c>
      <c r="CW252" t="s">
        <v>406</v>
      </c>
      <c r="CX252" t="s">
        <v>316</v>
      </c>
      <c r="CZ252" t="s">
        <v>289</v>
      </c>
      <c r="DA252" t="s">
        <v>289</v>
      </c>
      <c r="DB252" t="s">
        <v>289</v>
      </c>
      <c r="DC252" t="s">
        <v>289</v>
      </c>
      <c r="DI252" t="s">
        <v>289</v>
      </c>
      <c r="DL252" t="s">
        <v>289</v>
      </c>
      <c r="DM252" t="s">
        <v>317</v>
      </c>
      <c r="DS252" t="s">
        <v>289</v>
      </c>
      <c r="DT252" t="s">
        <v>289</v>
      </c>
      <c r="DU252" t="s">
        <v>318</v>
      </c>
      <c r="DV252" t="s">
        <v>289</v>
      </c>
      <c r="DX252" t="s">
        <v>319</v>
      </c>
      <c r="EA252" t="s">
        <v>294</v>
      </c>
      <c r="EJ252" t="str">
        <f>"18"</f>
        <v>18</v>
      </c>
    </row>
    <row r="253" spans="1:140" x14ac:dyDescent="0.25">
      <c r="A253">
        <v>28405838</v>
      </c>
      <c r="B253">
        <v>146824</v>
      </c>
      <c r="C253" t="str">
        <f>"080704551019"</f>
        <v>080704551019</v>
      </c>
      <c r="D253" t="s">
        <v>582</v>
      </c>
      <c r="E253" t="s">
        <v>1118</v>
      </c>
      <c r="F253" t="s">
        <v>1119</v>
      </c>
      <c r="G253" s="1">
        <v>39633</v>
      </c>
      <c r="I253" t="s">
        <v>353</v>
      </c>
      <c r="J253" t="s">
        <v>287</v>
      </c>
      <c r="K253" t="s">
        <v>288</v>
      </c>
      <c r="Q253" t="s">
        <v>289</v>
      </c>
      <c r="R253" t="str">
        <f>"КАЗАХСТАН, АКМОЛИНСКАЯ, ЗЕРЕНДИНСКИЙ РАЙОН, Зерендинский, Зеренда, 8, 2"</f>
        <v>КАЗАХСТАН, АКМОЛИНСКАЯ, ЗЕРЕНДИНСКИЙ РАЙОН, Зерендинский, Зеренда, 8, 2</v>
      </c>
      <c r="S253" t="str">
        <f>"ҚАЗАҚСТАН, АҚМОЛА, ЗЕРЕНДІ АУДАНЫ, Зерендинский, Зеренда, 8, 2"</f>
        <v>ҚАЗАҚСТАН, АҚМОЛА, ЗЕРЕНДІ АУДАНЫ, Зерендинский, Зеренда, 8, 2</v>
      </c>
      <c r="T253" t="str">
        <f>"Зерендинский, Зеренда, 8, 2"</f>
        <v>Зерендинский, Зеренда, 8, 2</v>
      </c>
      <c r="U253" t="str">
        <f>"Зерендинский, Зеренда, 8, 2"</f>
        <v>Зерендинский, Зеренда, 8, 2</v>
      </c>
      <c r="AC253" t="str">
        <f>"2024-09-01T00:00:00"</f>
        <v>2024-09-01T00:00:00</v>
      </c>
      <c r="AD253" t="str">
        <f>"24"</f>
        <v>24</v>
      </c>
      <c r="AE253" t="str">
        <f>"2024-09-01T18:52:21"</f>
        <v>2024-09-01T18:52:21</v>
      </c>
      <c r="AF253" t="str">
        <f>"2025-05-25T18:52:21"</f>
        <v>2025-05-25T18:52:21</v>
      </c>
      <c r="AG253" t="s">
        <v>747</v>
      </c>
      <c r="AH253" t="str">
        <f>"toga81@mail.ru"</f>
        <v>toga81@mail.ru</v>
      </c>
      <c r="AI253" t="s">
        <v>291</v>
      </c>
      <c r="AK253" t="s">
        <v>1082</v>
      </c>
      <c r="AP253" t="s">
        <v>293</v>
      </c>
      <c r="AT253" t="s">
        <v>294</v>
      </c>
      <c r="AU253" t="s">
        <v>679</v>
      </c>
      <c r="AW253" t="s">
        <v>296</v>
      </c>
      <c r="AX253">
        <v>1</v>
      </c>
      <c r="AY253" t="s">
        <v>297</v>
      </c>
      <c r="AZ253" t="s">
        <v>298</v>
      </c>
      <c r="BA253" t="s">
        <v>299</v>
      </c>
      <c r="BF253" t="s">
        <v>294</v>
      </c>
      <c r="BG253" t="s">
        <v>300</v>
      </c>
      <c r="BI253" t="s">
        <v>298</v>
      </c>
      <c r="BR253" t="s">
        <v>289</v>
      </c>
      <c r="BS253" t="s">
        <v>301</v>
      </c>
      <c r="BT253" t="s">
        <v>302</v>
      </c>
      <c r="BU253" t="s">
        <v>303</v>
      </c>
      <c r="BV253" t="s">
        <v>304</v>
      </c>
      <c r="BX253" t="s">
        <v>324</v>
      </c>
      <c r="BY253" t="s">
        <v>298</v>
      </c>
      <c r="BZ253" t="s">
        <v>924</v>
      </c>
      <c r="CA253" t="s">
        <v>954</v>
      </c>
      <c r="CC253" t="s">
        <v>308</v>
      </c>
      <c r="CD253" t="s">
        <v>309</v>
      </c>
      <c r="CE253" t="s">
        <v>294</v>
      </c>
      <c r="CK253" t="s">
        <v>382</v>
      </c>
      <c r="CL253" t="s">
        <v>328</v>
      </c>
      <c r="CM253" t="s">
        <v>298</v>
      </c>
      <c r="CO253" t="s">
        <v>312</v>
      </c>
      <c r="CT253" t="s">
        <v>294</v>
      </c>
      <c r="CU253" t="s">
        <v>405</v>
      </c>
      <c r="CW253" t="s">
        <v>406</v>
      </c>
      <c r="CX253" t="s">
        <v>316</v>
      </c>
      <c r="CZ253" t="s">
        <v>289</v>
      </c>
      <c r="DA253" t="s">
        <v>289</v>
      </c>
      <c r="DB253" t="s">
        <v>289</v>
      </c>
      <c r="DC253" t="s">
        <v>289</v>
      </c>
      <c r="DI253" t="s">
        <v>289</v>
      </c>
      <c r="DL253" t="s">
        <v>289</v>
      </c>
      <c r="DM253" t="s">
        <v>317</v>
      </c>
      <c r="DS253" t="s">
        <v>289</v>
      </c>
      <c r="DT253" t="s">
        <v>289</v>
      </c>
      <c r="DU253" t="s">
        <v>318</v>
      </c>
      <c r="DV253" t="s">
        <v>289</v>
      </c>
      <c r="DX253" t="s">
        <v>319</v>
      </c>
      <c r="EA253" t="s">
        <v>289</v>
      </c>
      <c r="EJ253" t="str">
        <f>"11"</f>
        <v>11</v>
      </c>
    </row>
    <row r="254" spans="1:140" x14ac:dyDescent="0.25">
      <c r="A254">
        <v>28405845</v>
      </c>
      <c r="B254">
        <v>84307</v>
      </c>
      <c r="C254" t="str">
        <f>"090531650861"</f>
        <v>090531650861</v>
      </c>
      <c r="D254" t="s">
        <v>983</v>
      </c>
      <c r="E254" t="s">
        <v>662</v>
      </c>
      <c r="F254" t="s">
        <v>794</v>
      </c>
      <c r="G254" s="1">
        <v>39964</v>
      </c>
      <c r="I254" t="s">
        <v>286</v>
      </c>
      <c r="J254" t="s">
        <v>287</v>
      </c>
      <c r="K254" t="s">
        <v>288</v>
      </c>
      <c r="Q254" t="s">
        <v>289</v>
      </c>
      <c r="R254" t="str">
        <f>"КАЗАХСТАН, АКМОЛИНСКАЯ, ЗЕРЕНДИНСКИЙ РАЙОН, Троицкий, Карсак, 16"</f>
        <v>КАЗАХСТАН, АКМОЛИНСКАЯ, ЗЕРЕНДИНСКИЙ РАЙОН, Троицкий, Карсак, 16</v>
      </c>
      <c r="S254" t="str">
        <f>"ҚАЗАҚСТАН, АҚМОЛА, ЗЕРЕНДІ АУДАНЫ, Троицкий, Карсак, 16"</f>
        <v>ҚАЗАҚСТАН, АҚМОЛА, ЗЕРЕНДІ АУДАНЫ, Троицкий, Карсак, 16</v>
      </c>
      <c r="T254" t="str">
        <f>"Троицкий, Карсак, 16"</f>
        <v>Троицкий, Карсак, 16</v>
      </c>
      <c r="U254" t="str">
        <f>"Троицкий, Карсак, 16"</f>
        <v>Троицкий, Карсак, 16</v>
      </c>
      <c r="AC254" t="str">
        <f>"2024-09-01T00:00:00"</f>
        <v>2024-09-01T00:00:00</v>
      </c>
      <c r="AD254" t="str">
        <f>"24"</f>
        <v>24</v>
      </c>
      <c r="AE254" t="str">
        <f>"2024-09-01T18:53:01"</f>
        <v>2024-09-01T18:53:01</v>
      </c>
      <c r="AF254" t="str">
        <f>"2025-05-25T18:53:01"</f>
        <v>2025-05-25T18:53:01</v>
      </c>
      <c r="AG254" t="s">
        <v>290</v>
      </c>
      <c r="AH254" t="str">
        <f>"Ganel2009@mail.ru"</f>
        <v>Ganel2009@mail.ru</v>
      </c>
      <c r="AI254" t="s">
        <v>476</v>
      </c>
      <c r="AK254" t="s">
        <v>1082</v>
      </c>
      <c r="AP254" t="s">
        <v>293</v>
      </c>
      <c r="AT254" t="s">
        <v>294</v>
      </c>
      <c r="AU254" t="s">
        <v>295</v>
      </c>
      <c r="AW254" t="s">
        <v>296</v>
      </c>
      <c r="AX254">
        <v>1</v>
      </c>
      <c r="AY254" t="s">
        <v>297</v>
      </c>
      <c r="AZ254" t="s">
        <v>298</v>
      </c>
      <c r="BA254" t="s">
        <v>299</v>
      </c>
      <c r="BF254" t="s">
        <v>294</v>
      </c>
      <c r="BG254" t="s">
        <v>300</v>
      </c>
      <c r="BI254" t="s">
        <v>298</v>
      </c>
      <c r="BR254" t="s">
        <v>289</v>
      </c>
      <c r="BS254" t="s">
        <v>433</v>
      </c>
      <c r="BT254" t="s">
        <v>434</v>
      </c>
      <c r="BU254" t="s">
        <v>303</v>
      </c>
      <c r="BV254" t="s">
        <v>304</v>
      </c>
      <c r="BX254" t="s">
        <v>324</v>
      </c>
      <c r="BY254" t="s">
        <v>298</v>
      </c>
      <c r="BZ254" t="s">
        <v>1086</v>
      </c>
      <c r="CA254" t="s">
        <v>410</v>
      </c>
      <c r="CC254" t="s">
        <v>308</v>
      </c>
      <c r="CD254" t="s">
        <v>309</v>
      </c>
      <c r="CE254" t="s">
        <v>294</v>
      </c>
      <c r="CK254" t="s">
        <v>382</v>
      </c>
      <c r="CL254" t="s">
        <v>328</v>
      </c>
      <c r="CM254" t="s">
        <v>298</v>
      </c>
      <c r="CO254" t="s">
        <v>312</v>
      </c>
      <c r="CT254" t="s">
        <v>294</v>
      </c>
      <c r="CU254" t="s">
        <v>405</v>
      </c>
      <c r="CW254" t="s">
        <v>406</v>
      </c>
      <c r="CX254" t="s">
        <v>316</v>
      </c>
      <c r="CZ254" t="s">
        <v>289</v>
      </c>
      <c r="DA254" t="s">
        <v>289</v>
      </c>
      <c r="DB254" t="s">
        <v>289</v>
      </c>
      <c r="DC254" t="s">
        <v>289</v>
      </c>
      <c r="DI254" t="s">
        <v>289</v>
      </c>
      <c r="DL254" t="s">
        <v>289</v>
      </c>
      <c r="DM254" t="s">
        <v>317</v>
      </c>
      <c r="DS254" t="s">
        <v>289</v>
      </c>
      <c r="DT254" t="s">
        <v>289</v>
      </c>
      <c r="DU254" t="s">
        <v>318</v>
      </c>
      <c r="DV254" t="s">
        <v>289</v>
      </c>
      <c r="DX254" t="s">
        <v>319</v>
      </c>
      <c r="EA254" t="s">
        <v>289</v>
      </c>
      <c r="EJ254" t="str">
        <f>"19"</f>
        <v>19</v>
      </c>
    </row>
    <row r="255" spans="1:140" x14ac:dyDescent="0.25">
      <c r="A255">
        <v>28468977</v>
      </c>
      <c r="B255">
        <v>480469</v>
      </c>
      <c r="C255" t="str">
        <f>"081016652754"</f>
        <v>081016652754</v>
      </c>
      <c r="D255" t="s">
        <v>1120</v>
      </c>
      <c r="E255" t="s">
        <v>1121</v>
      </c>
      <c r="F255" t="s">
        <v>1122</v>
      </c>
      <c r="G255" s="1">
        <v>39737</v>
      </c>
      <c r="I255" t="s">
        <v>286</v>
      </c>
      <c r="J255" t="s">
        <v>287</v>
      </c>
      <c r="K255" t="s">
        <v>288</v>
      </c>
      <c r="Q255" t="s">
        <v>289</v>
      </c>
      <c r="R255" t="str">
        <f>"КАЗАХСТАН, АКМОЛИНСКАЯ, ЗЕРЕНДИНСКИЙ РАЙОН, Малика Габдуллина, Малика Габдуллина, 16, 1"</f>
        <v>КАЗАХСТАН, АКМОЛИНСКАЯ, ЗЕРЕНДИНСКИЙ РАЙОН, Малика Габдуллина, Малика Габдуллина, 16, 1</v>
      </c>
      <c r="S255" t="str">
        <f>"ҚАЗАҚСТАН, АҚМОЛА, ЗЕРЕНДІ АУДАНЫ, Малика Габдуллина, Малика Габдуллина, 16, 1"</f>
        <v>ҚАЗАҚСТАН, АҚМОЛА, ЗЕРЕНДІ АУДАНЫ, Малика Габдуллина, Малика Габдуллина, 16, 1</v>
      </c>
      <c r="T255" t="str">
        <f>"Малика Габдуллина, Малика Габдуллина, 16, 1"</f>
        <v>Малика Габдуллина, Малика Габдуллина, 16, 1</v>
      </c>
      <c r="U255" t="str">
        <f>"Малика Габдуллина, Малика Габдуллина, 16, 1"</f>
        <v>Малика Габдуллина, Малика Габдуллина, 16, 1</v>
      </c>
      <c r="AC255" t="str">
        <f>"2024-09-01T00:00:00"</f>
        <v>2024-09-01T00:00:00</v>
      </c>
      <c r="AD255" t="str">
        <f>"24"</f>
        <v>24</v>
      </c>
      <c r="AE255" t="str">
        <f>"2024-09-01T18:43:30"</f>
        <v>2024-09-01T18:43:30</v>
      </c>
      <c r="AF255" t="str">
        <f>"2025-05-25T18:43:30"</f>
        <v>2025-05-25T18:43:30</v>
      </c>
      <c r="AG255" t="s">
        <v>290</v>
      </c>
      <c r="AH255" t="str">
        <f>"zarinaiskakova@gmail.com"</f>
        <v>zarinaiskakova@gmail.com</v>
      </c>
      <c r="AI255" t="s">
        <v>373</v>
      </c>
      <c r="AK255" t="s">
        <v>1082</v>
      </c>
      <c r="AP255" t="s">
        <v>342</v>
      </c>
      <c r="AT255" t="s">
        <v>294</v>
      </c>
      <c r="AU255" t="s">
        <v>679</v>
      </c>
      <c r="AW255" t="s">
        <v>296</v>
      </c>
      <c r="AX255">
        <v>1</v>
      </c>
      <c r="AY255" t="s">
        <v>297</v>
      </c>
      <c r="AZ255" t="s">
        <v>298</v>
      </c>
      <c r="BA255" t="s">
        <v>349</v>
      </c>
      <c r="BF255" t="s">
        <v>294</v>
      </c>
      <c r="BG255" t="s">
        <v>300</v>
      </c>
      <c r="BI255" t="s">
        <v>298</v>
      </c>
      <c r="BR255" t="s">
        <v>289</v>
      </c>
      <c r="BS255" t="s">
        <v>433</v>
      </c>
      <c r="BT255" t="s">
        <v>434</v>
      </c>
      <c r="BU255" t="s">
        <v>303</v>
      </c>
      <c r="BV255" t="s">
        <v>365</v>
      </c>
      <c r="BX255" t="s">
        <v>324</v>
      </c>
      <c r="BY255" t="s">
        <v>298</v>
      </c>
      <c r="BZ255" t="s">
        <v>924</v>
      </c>
      <c r="CA255" t="s">
        <v>1123</v>
      </c>
      <c r="CC255" t="s">
        <v>308</v>
      </c>
      <c r="CD255" t="s">
        <v>309</v>
      </c>
      <c r="CE255" t="s">
        <v>294</v>
      </c>
      <c r="CK255" t="s">
        <v>559</v>
      </c>
      <c r="CL255" t="s">
        <v>311</v>
      </c>
      <c r="CM255" t="s">
        <v>298</v>
      </c>
      <c r="CO255" t="s">
        <v>1124</v>
      </c>
      <c r="CP255" t="s">
        <v>1125</v>
      </c>
      <c r="CQ255" t="s">
        <v>1126</v>
      </c>
      <c r="CR255" t="s">
        <v>1127</v>
      </c>
      <c r="CS255" t="s">
        <v>1128</v>
      </c>
      <c r="CT255" t="s">
        <v>294</v>
      </c>
      <c r="CU255" t="s">
        <v>405</v>
      </c>
      <c r="CW255" t="s">
        <v>406</v>
      </c>
      <c r="CX255" t="s">
        <v>316</v>
      </c>
      <c r="CZ255" t="s">
        <v>289</v>
      </c>
      <c r="DA255" t="s">
        <v>289</v>
      </c>
      <c r="DB255" t="s">
        <v>289</v>
      </c>
      <c r="DC255" t="s">
        <v>289</v>
      </c>
      <c r="DI255" t="s">
        <v>289</v>
      </c>
      <c r="DL255" t="s">
        <v>289</v>
      </c>
      <c r="DM255" t="s">
        <v>317</v>
      </c>
      <c r="DS255" t="s">
        <v>289</v>
      </c>
      <c r="DT255" t="s">
        <v>289</v>
      </c>
      <c r="DU255" t="s">
        <v>318</v>
      </c>
      <c r="DV255" t="s">
        <v>289</v>
      </c>
      <c r="DX255" t="s">
        <v>368</v>
      </c>
      <c r="DY255" t="s">
        <v>472</v>
      </c>
      <c r="DZ255" t="s">
        <v>473</v>
      </c>
      <c r="EA255" t="s">
        <v>294</v>
      </c>
    </row>
    <row r="256" spans="1:140" x14ac:dyDescent="0.25">
      <c r="A256">
        <v>28469720</v>
      </c>
      <c r="B256">
        <v>78577</v>
      </c>
      <c r="C256" t="str">
        <f>"080915000013"</f>
        <v>080915000013</v>
      </c>
      <c r="D256" t="s">
        <v>1129</v>
      </c>
      <c r="E256" t="s">
        <v>1130</v>
      </c>
      <c r="G256" s="1">
        <v>39706</v>
      </c>
      <c r="I256" t="s">
        <v>286</v>
      </c>
      <c r="J256" t="s">
        <v>287</v>
      </c>
      <c r="K256" t="s">
        <v>288</v>
      </c>
      <c r="L256" t="s">
        <v>289</v>
      </c>
      <c r="Q256" t="s">
        <v>289</v>
      </c>
      <c r="R256" t="str">
        <f>"КАЗАХСТАН, АКМОЛИНСКАЯ, ЗЕРЕНДИНСКИЙ РАЙОН, Малика Габдуллина, Малика Габдуллина, 17, 1"</f>
        <v>КАЗАХСТАН, АКМОЛИНСКАЯ, ЗЕРЕНДИНСКИЙ РАЙОН, Малика Габдуллина, Малика Габдуллина, 17, 1</v>
      </c>
      <c r="S256" t="str">
        <f>"ҚАЗАҚСТАН, АҚМОЛА, ЗЕРЕНДІ АУДАНЫ, Малика Габдуллина, Малика Габдуллина, 17, 1"</f>
        <v>ҚАЗАҚСТАН, АҚМОЛА, ЗЕРЕНДІ АУДАНЫ, Малика Габдуллина, Малика Габдуллина, 17, 1</v>
      </c>
      <c r="T256" t="str">
        <f>"Малика Габдуллина, Малика Габдуллина, 17, 1"</f>
        <v>Малика Габдуллина, Малика Габдуллина, 17, 1</v>
      </c>
      <c r="U256" t="str">
        <f>"Малика Габдуллина, Малика Габдуллина, 17, 1"</f>
        <v>Малика Габдуллина, Малика Габдуллина, 17, 1</v>
      </c>
      <c r="AC256" t="str">
        <f>"2024-09-01T00:00:00"</f>
        <v>2024-09-01T00:00:00</v>
      </c>
      <c r="AD256" t="str">
        <f>"24"</f>
        <v>24</v>
      </c>
      <c r="AE256" t="str">
        <f>"2024-09-01T18:44:23"</f>
        <v>2024-09-01T18:44:23</v>
      </c>
      <c r="AF256" t="str">
        <f>"2025-05-25T18:44:23"</f>
        <v>2025-05-25T18:44:23</v>
      </c>
      <c r="AG256" t="s">
        <v>290</v>
      </c>
      <c r="AH256" t="str">
        <f>"ulpanzeksenbek@mail.ru"</f>
        <v>ulpanzeksenbek@mail.ru</v>
      </c>
      <c r="AI256" t="s">
        <v>476</v>
      </c>
      <c r="AK256" t="s">
        <v>1082</v>
      </c>
      <c r="AP256" t="s">
        <v>342</v>
      </c>
      <c r="AT256" t="s">
        <v>294</v>
      </c>
      <c r="AU256" t="s">
        <v>679</v>
      </c>
      <c r="AW256" t="s">
        <v>296</v>
      </c>
      <c r="AX256">
        <v>1</v>
      </c>
      <c r="AY256" t="s">
        <v>297</v>
      </c>
      <c r="AZ256" t="s">
        <v>298</v>
      </c>
      <c r="BA256" t="s">
        <v>349</v>
      </c>
      <c r="BF256" t="s">
        <v>294</v>
      </c>
      <c r="BG256" t="s">
        <v>300</v>
      </c>
      <c r="BI256" t="s">
        <v>298</v>
      </c>
      <c r="BR256" t="s">
        <v>289</v>
      </c>
      <c r="BS256" t="s">
        <v>433</v>
      </c>
      <c r="BT256" t="s">
        <v>434</v>
      </c>
      <c r="BU256" t="s">
        <v>303</v>
      </c>
      <c r="BV256" t="s">
        <v>304</v>
      </c>
      <c r="BX256" t="s">
        <v>324</v>
      </c>
      <c r="BY256" t="s">
        <v>298</v>
      </c>
      <c r="BZ256" t="s">
        <v>924</v>
      </c>
      <c r="CA256" t="s">
        <v>410</v>
      </c>
      <c r="CC256" t="s">
        <v>308</v>
      </c>
      <c r="CD256" t="s">
        <v>309</v>
      </c>
      <c r="CE256" t="s">
        <v>294</v>
      </c>
      <c r="CK256" t="s">
        <v>382</v>
      </c>
      <c r="CL256" t="s">
        <v>328</v>
      </c>
      <c r="CM256" t="s">
        <v>298</v>
      </c>
      <c r="CO256" t="s">
        <v>1131</v>
      </c>
      <c r="CP256" t="s">
        <v>1132</v>
      </c>
      <c r="CQ256" t="s">
        <v>1133</v>
      </c>
      <c r="CR256" t="s">
        <v>1134</v>
      </c>
      <c r="CS256" t="s">
        <v>1135</v>
      </c>
      <c r="CT256" t="s">
        <v>294</v>
      </c>
      <c r="CU256" t="s">
        <v>405</v>
      </c>
      <c r="CW256" t="s">
        <v>406</v>
      </c>
      <c r="CX256" t="s">
        <v>316</v>
      </c>
      <c r="CZ256" t="s">
        <v>289</v>
      </c>
      <c r="DA256" t="s">
        <v>289</v>
      </c>
      <c r="DB256" t="s">
        <v>289</v>
      </c>
      <c r="DC256" t="s">
        <v>289</v>
      </c>
      <c r="DI256" t="s">
        <v>289</v>
      </c>
      <c r="DL256" t="s">
        <v>289</v>
      </c>
      <c r="DM256" t="s">
        <v>317</v>
      </c>
      <c r="DS256" t="s">
        <v>289</v>
      </c>
      <c r="DT256" t="s">
        <v>289</v>
      </c>
      <c r="DU256" t="s">
        <v>318</v>
      </c>
      <c r="DV256" t="s">
        <v>289</v>
      </c>
      <c r="DX256" t="s">
        <v>319</v>
      </c>
      <c r="EA256" t="s">
        <v>294</v>
      </c>
    </row>
    <row r="257" spans="1:131" x14ac:dyDescent="0.25">
      <c r="A257">
        <v>28492334</v>
      </c>
      <c r="B257">
        <v>11882808</v>
      </c>
      <c r="C257" t="str">
        <f>"150901505804"</f>
        <v>150901505804</v>
      </c>
      <c r="D257" t="s">
        <v>1136</v>
      </c>
      <c r="E257" t="s">
        <v>1137</v>
      </c>
      <c r="F257" t="s">
        <v>1138</v>
      </c>
      <c r="G257" s="1">
        <v>42248</v>
      </c>
      <c r="I257" t="s">
        <v>353</v>
      </c>
      <c r="J257" t="s">
        <v>287</v>
      </c>
      <c r="K257" t="s">
        <v>288</v>
      </c>
      <c r="Q257" t="s">
        <v>289</v>
      </c>
      <c r="R257" t="str">
        <f>"КАЗАХСТАН, АСТАНА, ЕСИЛЬСКИЙ РАЙОН, 58А, 130"</f>
        <v>КАЗАХСТАН, АСТАНА, ЕСИЛЬСКИЙ РАЙОН, 58А, 130</v>
      </c>
      <c r="S257" t="str">
        <f>"ҚАЗАҚСТАН, АСТАНА, ЕСІЛ АУДАНЫ, 58А, 130"</f>
        <v>ҚАЗАҚСТАН, АСТАНА, ЕСІЛ АУДАНЫ, 58А, 130</v>
      </c>
      <c r="T257" t="str">
        <f>"58А, 130"</f>
        <v>58А, 130</v>
      </c>
      <c r="U257" t="str">
        <f>"58А, 130"</f>
        <v>58А, 130</v>
      </c>
      <c r="AC257" t="str">
        <f>"2024-09-02T00:00:00"</f>
        <v>2024-09-02T00:00:00</v>
      </c>
      <c r="AD257" t="str">
        <f>"27"</f>
        <v>27</v>
      </c>
      <c r="AE257" t="str">
        <f>"2024-09-01T10:36:20"</f>
        <v>2024-09-01T10:36:20</v>
      </c>
      <c r="AF257" t="str">
        <f>"2025-05-25T10:36:20"</f>
        <v>2025-05-25T10:36:20</v>
      </c>
      <c r="AG257" t="s">
        <v>622</v>
      </c>
      <c r="AI257" t="s">
        <v>476</v>
      </c>
      <c r="AK257" t="s">
        <v>866</v>
      </c>
      <c r="AP257" t="s">
        <v>342</v>
      </c>
      <c r="AT257" t="s">
        <v>294</v>
      </c>
      <c r="AU257" t="s">
        <v>295</v>
      </c>
      <c r="AW257" t="s">
        <v>296</v>
      </c>
      <c r="AX257">
        <v>2</v>
      </c>
      <c r="AY257" t="s">
        <v>297</v>
      </c>
      <c r="AZ257" t="s">
        <v>298</v>
      </c>
      <c r="BA257" t="s">
        <v>796</v>
      </c>
      <c r="BF257" t="s">
        <v>289</v>
      </c>
      <c r="BI257" t="s">
        <v>298</v>
      </c>
      <c r="BR257" t="s">
        <v>289</v>
      </c>
      <c r="BS257" t="s">
        <v>301</v>
      </c>
      <c r="BT257" t="s">
        <v>302</v>
      </c>
      <c r="BU257" t="s">
        <v>303</v>
      </c>
      <c r="BV257" t="s">
        <v>365</v>
      </c>
      <c r="BX257" t="s">
        <v>867</v>
      </c>
      <c r="BY257" t="s">
        <v>298</v>
      </c>
      <c r="CC257" t="s">
        <v>309</v>
      </c>
      <c r="CE257" t="s">
        <v>289</v>
      </c>
      <c r="CJ257" t="s">
        <v>704</v>
      </c>
      <c r="CK257" t="s">
        <v>471</v>
      </c>
      <c r="CL257" t="s">
        <v>328</v>
      </c>
      <c r="CM257" t="s">
        <v>298</v>
      </c>
      <c r="CO257" t="s">
        <v>312</v>
      </c>
      <c r="CT257" t="s">
        <v>294</v>
      </c>
      <c r="CU257" t="s">
        <v>313</v>
      </c>
      <c r="CV257" t="s">
        <v>314</v>
      </c>
      <c r="CW257" t="s">
        <v>315</v>
      </c>
      <c r="CX257" t="s">
        <v>316</v>
      </c>
      <c r="CZ257" t="s">
        <v>289</v>
      </c>
      <c r="DA257" t="s">
        <v>289</v>
      </c>
      <c r="DB257" t="s">
        <v>289</v>
      </c>
      <c r="DC257" t="s">
        <v>289</v>
      </c>
      <c r="DI257" t="s">
        <v>289</v>
      </c>
      <c r="DL257" t="s">
        <v>289</v>
      </c>
      <c r="DM257" t="s">
        <v>317</v>
      </c>
      <c r="DS257" t="s">
        <v>289</v>
      </c>
      <c r="DT257" t="s">
        <v>289</v>
      </c>
      <c r="DU257" t="s">
        <v>318</v>
      </c>
      <c r="DV257" t="s">
        <v>289</v>
      </c>
      <c r="DX257" t="s">
        <v>319</v>
      </c>
      <c r="EA257" t="s">
        <v>289</v>
      </c>
    </row>
    <row r="258" spans="1:131" x14ac:dyDescent="0.25">
      <c r="A258">
        <v>28619096</v>
      </c>
      <c r="B258">
        <v>157171</v>
      </c>
      <c r="C258" t="str">
        <f>"081020551787"</f>
        <v>081020551787</v>
      </c>
      <c r="D258" t="s">
        <v>1139</v>
      </c>
      <c r="E258" t="s">
        <v>1140</v>
      </c>
      <c r="F258" t="s">
        <v>1141</v>
      </c>
      <c r="G258" s="1">
        <v>39741</v>
      </c>
      <c r="I258" t="s">
        <v>353</v>
      </c>
      <c r="J258" t="s">
        <v>287</v>
      </c>
      <c r="K258" t="s">
        <v>288</v>
      </c>
      <c r="Q258" t="s">
        <v>289</v>
      </c>
      <c r="R258" t="str">
        <f>"КАЗАХСТАН, АКМОЛИНСКАЯ, ЗЕРЕНДИНСКИЙ РАЙОН, Байтерекский, Байтерек, 14, 1"</f>
        <v>КАЗАХСТАН, АКМОЛИНСКАЯ, ЗЕРЕНДИНСКИЙ РАЙОН, Байтерекский, Байтерек, 14, 1</v>
      </c>
      <c r="S258" t="str">
        <f>"ҚАЗАҚСТАН, АҚМОЛА, ЗЕРЕНДІ АУДАНЫ, Байтерекский, Байтерек, 14, 1"</f>
        <v>ҚАЗАҚСТАН, АҚМОЛА, ЗЕРЕНДІ АУДАНЫ, Байтерекский, Байтерек, 14, 1</v>
      </c>
      <c r="T258" t="str">
        <f>"Байтерекский, Байтерек, 14, 1"</f>
        <v>Байтерекский, Байтерек, 14, 1</v>
      </c>
      <c r="U258" t="str">
        <f>"Байтерекский, Байтерек, 14, 1"</f>
        <v>Байтерекский, Байтерек, 14, 1</v>
      </c>
      <c r="AC258" t="str">
        <f>"2024-09-01T00:00:00"</f>
        <v>2024-09-01T00:00:00</v>
      </c>
      <c r="AD258" t="str">
        <f>"24"</f>
        <v>24</v>
      </c>
      <c r="AE258" t="str">
        <f>"2024-09-01T18:54:11"</f>
        <v>2024-09-01T18:54:11</v>
      </c>
      <c r="AF258" t="str">
        <f>"2025-05-25T18:54:11"</f>
        <v>2025-05-25T18:54:11</v>
      </c>
      <c r="AG258" t="s">
        <v>290</v>
      </c>
      <c r="AH258" t="str">
        <f>"sgtemirgalina@mail.ru"</f>
        <v>sgtemirgalina@mail.ru</v>
      </c>
      <c r="AI258" t="s">
        <v>476</v>
      </c>
      <c r="AK258" t="s">
        <v>1082</v>
      </c>
      <c r="AP258" t="s">
        <v>293</v>
      </c>
      <c r="AT258" t="s">
        <v>294</v>
      </c>
      <c r="AU258" t="s">
        <v>295</v>
      </c>
      <c r="AW258" t="s">
        <v>296</v>
      </c>
      <c r="AX258">
        <v>1</v>
      </c>
      <c r="AY258" t="s">
        <v>297</v>
      </c>
      <c r="AZ258" t="s">
        <v>298</v>
      </c>
      <c r="BA258" t="s">
        <v>349</v>
      </c>
      <c r="BF258" t="s">
        <v>289</v>
      </c>
      <c r="BI258" t="s">
        <v>298</v>
      </c>
      <c r="BR258" t="s">
        <v>289</v>
      </c>
      <c r="BS258" t="s">
        <v>433</v>
      </c>
      <c r="BT258" t="s">
        <v>434</v>
      </c>
      <c r="BU258" t="s">
        <v>303</v>
      </c>
      <c r="BV258" t="s">
        <v>365</v>
      </c>
      <c r="BX258" t="s">
        <v>305</v>
      </c>
      <c r="BY258" t="s">
        <v>298</v>
      </c>
      <c r="BZ258" t="s">
        <v>1142</v>
      </c>
      <c r="CA258" t="s">
        <v>1143</v>
      </c>
      <c r="CC258" t="s">
        <v>308</v>
      </c>
      <c r="CD258" t="s">
        <v>309</v>
      </c>
      <c r="CE258" t="s">
        <v>294</v>
      </c>
      <c r="CK258" t="s">
        <v>455</v>
      </c>
      <c r="CL258" t="s">
        <v>328</v>
      </c>
      <c r="CM258" t="s">
        <v>298</v>
      </c>
      <c r="CO258" t="s">
        <v>312</v>
      </c>
      <c r="CT258" t="s">
        <v>294</v>
      </c>
      <c r="CU258" t="s">
        <v>405</v>
      </c>
      <c r="CW258" t="s">
        <v>406</v>
      </c>
      <c r="CX258" t="s">
        <v>316</v>
      </c>
      <c r="CZ258" t="s">
        <v>289</v>
      </c>
      <c r="DA258" t="s">
        <v>289</v>
      </c>
      <c r="DB258" t="s">
        <v>289</v>
      </c>
      <c r="DC258" t="s">
        <v>289</v>
      </c>
      <c r="DI258" t="s">
        <v>289</v>
      </c>
      <c r="DL258" t="s">
        <v>289</v>
      </c>
      <c r="DM258" t="s">
        <v>1144</v>
      </c>
      <c r="DN258" t="s">
        <v>304</v>
      </c>
      <c r="DS258" t="s">
        <v>289</v>
      </c>
      <c r="DT258" t="s">
        <v>289</v>
      </c>
      <c r="DU258" t="s">
        <v>318</v>
      </c>
      <c r="DV258" t="s">
        <v>289</v>
      </c>
      <c r="DX258" t="s">
        <v>368</v>
      </c>
      <c r="DY258" t="s">
        <v>472</v>
      </c>
      <c r="DZ258" t="s">
        <v>473</v>
      </c>
      <c r="EA258" t="s">
        <v>289</v>
      </c>
    </row>
    <row r="259" spans="1:131" x14ac:dyDescent="0.25">
      <c r="A259">
        <v>28619356</v>
      </c>
      <c r="B259">
        <v>157212</v>
      </c>
      <c r="C259" t="str">
        <f>"080131550521"</f>
        <v>080131550521</v>
      </c>
      <c r="D259" t="s">
        <v>1145</v>
      </c>
      <c r="E259" t="s">
        <v>880</v>
      </c>
      <c r="F259" t="s">
        <v>1146</v>
      </c>
      <c r="G259" s="1">
        <v>39478</v>
      </c>
      <c r="I259" t="s">
        <v>353</v>
      </c>
      <c r="J259" t="s">
        <v>287</v>
      </c>
      <c r="K259" t="s">
        <v>288</v>
      </c>
      <c r="Q259" t="s">
        <v>289</v>
      </c>
      <c r="R259" t="str">
        <f>"КАЗАХСТАН, АКМОЛИНСКАЯ, ЗЕРЕНДИНСКИЙ РАЙОН, Байтерекский, Байтерек, 34, 1"</f>
        <v>КАЗАХСТАН, АКМОЛИНСКАЯ, ЗЕРЕНДИНСКИЙ РАЙОН, Байтерекский, Байтерек, 34, 1</v>
      </c>
      <c r="S259" t="str">
        <f>"ҚАЗАҚСТАН, АҚМОЛА, ЗЕРЕНДІ АУДАНЫ, Байтерекский, Байтерек, 34, 1"</f>
        <v>ҚАЗАҚСТАН, АҚМОЛА, ЗЕРЕНДІ АУДАНЫ, Байтерекский, Байтерек, 34, 1</v>
      </c>
      <c r="T259" t="str">
        <f>"Байтерекский, Байтерек, 34, 1"</f>
        <v>Байтерекский, Байтерек, 34, 1</v>
      </c>
      <c r="U259" t="str">
        <f>"Байтерекский, Байтерек, 34, 1"</f>
        <v>Байтерекский, Байтерек, 34, 1</v>
      </c>
      <c r="AC259" t="str">
        <f>"2024-09-01T00:00:00"</f>
        <v>2024-09-01T00:00:00</v>
      </c>
      <c r="AD259" t="str">
        <f>"24"</f>
        <v>24</v>
      </c>
      <c r="AE259" t="str">
        <f>"2024-09-01T18:54:53"</f>
        <v>2024-09-01T18:54:53</v>
      </c>
      <c r="AF259" t="str">
        <f>"2025-05-25T18:54:53"</f>
        <v>2025-05-25T18:54:53</v>
      </c>
      <c r="AG259" t="s">
        <v>290</v>
      </c>
      <c r="AH259" t="str">
        <f>"baiterek_ssh_zer@mail.ru"</f>
        <v>baiterek_ssh_zer@mail.ru</v>
      </c>
      <c r="AI259" t="s">
        <v>476</v>
      </c>
      <c r="AK259" t="s">
        <v>1082</v>
      </c>
      <c r="AP259" t="s">
        <v>293</v>
      </c>
      <c r="AT259" t="s">
        <v>294</v>
      </c>
      <c r="AU259" t="s">
        <v>295</v>
      </c>
      <c r="AW259" t="s">
        <v>296</v>
      </c>
      <c r="AX259">
        <v>1</v>
      </c>
      <c r="AY259" t="s">
        <v>297</v>
      </c>
      <c r="AZ259" t="s">
        <v>298</v>
      </c>
      <c r="BA259" t="s">
        <v>796</v>
      </c>
      <c r="BF259" t="s">
        <v>289</v>
      </c>
      <c r="BI259" t="s">
        <v>298</v>
      </c>
      <c r="BR259" t="s">
        <v>289</v>
      </c>
      <c r="BS259" t="s">
        <v>433</v>
      </c>
      <c r="BT259" t="s">
        <v>434</v>
      </c>
      <c r="BU259" t="s">
        <v>303</v>
      </c>
      <c r="BX259" t="s">
        <v>324</v>
      </c>
      <c r="BY259" t="s">
        <v>298</v>
      </c>
      <c r="BZ259" t="s">
        <v>924</v>
      </c>
      <c r="CA259" t="s">
        <v>936</v>
      </c>
      <c r="CC259" t="s">
        <v>308</v>
      </c>
      <c r="CD259" t="s">
        <v>309</v>
      </c>
      <c r="CE259" t="s">
        <v>294</v>
      </c>
      <c r="CK259" t="s">
        <v>327</v>
      </c>
      <c r="CL259" t="s">
        <v>328</v>
      </c>
      <c r="CM259" t="s">
        <v>298</v>
      </c>
      <c r="CO259" t="s">
        <v>312</v>
      </c>
      <c r="CT259" t="s">
        <v>294</v>
      </c>
      <c r="CU259" t="s">
        <v>405</v>
      </c>
      <c r="CW259" t="s">
        <v>406</v>
      </c>
      <c r="CX259" t="s">
        <v>316</v>
      </c>
      <c r="CZ259" t="s">
        <v>289</v>
      </c>
      <c r="DA259" t="s">
        <v>289</v>
      </c>
      <c r="DB259" t="s">
        <v>289</v>
      </c>
      <c r="DC259" t="s">
        <v>289</v>
      </c>
      <c r="DI259" t="s">
        <v>289</v>
      </c>
      <c r="DL259" t="s">
        <v>289</v>
      </c>
      <c r="DM259" t="s">
        <v>317</v>
      </c>
      <c r="DS259" t="s">
        <v>289</v>
      </c>
      <c r="DT259" t="s">
        <v>289</v>
      </c>
      <c r="DU259" t="s">
        <v>318</v>
      </c>
      <c r="DV259" t="s">
        <v>289</v>
      </c>
      <c r="DX259" t="s">
        <v>319</v>
      </c>
      <c r="EA259" t="s">
        <v>289</v>
      </c>
    </row>
    <row r="260" spans="1:131" x14ac:dyDescent="0.25">
      <c r="A260">
        <v>28620035</v>
      </c>
      <c r="B260">
        <v>155345</v>
      </c>
      <c r="C260" t="str">
        <f>"081228550521"</f>
        <v>081228550521</v>
      </c>
      <c r="D260" t="s">
        <v>1147</v>
      </c>
      <c r="E260" t="s">
        <v>1148</v>
      </c>
      <c r="F260" t="s">
        <v>1011</v>
      </c>
      <c r="G260" s="1">
        <v>39810</v>
      </c>
      <c r="I260" t="s">
        <v>353</v>
      </c>
      <c r="J260" t="s">
        <v>287</v>
      </c>
      <c r="K260" t="s">
        <v>288</v>
      </c>
      <c r="Q260" t="s">
        <v>289</v>
      </c>
      <c r="R260" t="str">
        <f>"КАЗАХСТАН, АКМОЛИНСКАЯ, ЗЕРЕНДИНСКИЙ РАЙОН, Кызылегисский, Ортаагаш, 27"</f>
        <v>КАЗАХСТАН, АКМОЛИНСКАЯ, ЗЕРЕНДИНСКИЙ РАЙОН, Кызылегисский, Ортаагаш, 27</v>
      </c>
      <c r="S260" t="str">
        <f>"ҚАЗАҚСТАН, АҚМОЛА, ЗЕРЕНДІ АУДАНЫ, Кызылегисский, Ортаагаш, 27"</f>
        <v>ҚАЗАҚСТАН, АҚМОЛА, ЗЕРЕНДІ АУДАНЫ, Кызылегисский, Ортаагаш, 27</v>
      </c>
      <c r="T260" t="str">
        <f>"Кызылегисский, Ортаагаш, 27"</f>
        <v>Кызылегисский, Ортаагаш, 27</v>
      </c>
      <c r="U260" t="str">
        <f>"Кызылегисский, Ортаагаш, 27"</f>
        <v>Кызылегисский, Ортаагаш, 27</v>
      </c>
      <c r="AC260" t="str">
        <f>"2024-09-01T00:00:00"</f>
        <v>2024-09-01T00:00:00</v>
      </c>
      <c r="AD260" t="str">
        <f>"24"</f>
        <v>24</v>
      </c>
      <c r="AE260" t="str">
        <f>"2024-09-01T18:55:24"</f>
        <v>2024-09-01T18:55:24</v>
      </c>
      <c r="AF260" t="str">
        <f>"2025-05-25T18:55:24"</f>
        <v>2025-05-25T18:55:24</v>
      </c>
      <c r="AG260" t="s">
        <v>290</v>
      </c>
      <c r="AH260" t="str">
        <f>"eldos2008@bk.ru"</f>
        <v>eldos2008@bk.ru</v>
      </c>
      <c r="AI260" t="s">
        <v>373</v>
      </c>
      <c r="AK260" t="s">
        <v>1082</v>
      </c>
      <c r="AP260" t="s">
        <v>293</v>
      </c>
      <c r="AT260" t="s">
        <v>294</v>
      </c>
      <c r="AU260" t="s">
        <v>295</v>
      </c>
      <c r="AW260" t="s">
        <v>296</v>
      </c>
      <c r="AX260">
        <v>1</v>
      </c>
      <c r="AY260" t="s">
        <v>297</v>
      </c>
      <c r="AZ260" t="s">
        <v>298</v>
      </c>
      <c r="BA260" t="s">
        <v>349</v>
      </c>
      <c r="BF260" t="s">
        <v>289</v>
      </c>
      <c r="BI260" t="s">
        <v>298</v>
      </c>
      <c r="BR260" t="s">
        <v>289</v>
      </c>
      <c r="BS260" t="s">
        <v>433</v>
      </c>
      <c r="BT260" t="s">
        <v>434</v>
      </c>
      <c r="BU260" t="s">
        <v>303</v>
      </c>
      <c r="BX260" t="s">
        <v>392</v>
      </c>
      <c r="BY260" t="s">
        <v>298</v>
      </c>
      <c r="BZ260" t="s">
        <v>924</v>
      </c>
      <c r="CA260" t="s">
        <v>404</v>
      </c>
      <c r="CC260" t="s">
        <v>308</v>
      </c>
      <c r="CD260" t="s">
        <v>309</v>
      </c>
      <c r="CE260" t="s">
        <v>294</v>
      </c>
      <c r="CK260" t="s">
        <v>1149</v>
      </c>
      <c r="CL260" t="s">
        <v>311</v>
      </c>
      <c r="CM260" t="s">
        <v>388</v>
      </c>
      <c r="CN260" t="s">
        <v>328</v>
      </c>
      <c r="CO260" t="s">
        <v>312</v>
      </c>
      <c r="CT260" t="s">
        <v>294</v>
      </c>
      <c r="CU260" t="s">
        <v>405</v>
      </c>
      <c r="CW260" t="s">
        <v>406</v>
      </c>
      <c r="CX260" t="s">
        <v>316</v>
      </c>
      <c r="CZ260" t="s">
        <v>289</v>
      </c>
      <c r="DA260" t="s">
        <v>289</v>
      </c>
      <c r="DB260" t="s">
        <v>289</v>
      </c>
      <c r="DC260" t="s">
        <v>289</v>
      </c>
      <c r="DI260" t="s">
        <v>289</v>
      </c>
      <c r="DL260" t="s">
        <v>289</v>
      </c>
      <c r="DM260" t="s">
        <v>317</v>
      </c>
      <c r="DS260" t="s">
        <v>289</v>
      </c>
      <c r="DT260" t="s">
        <v>289</v>
      </c>
      <c r="DU260" t="s">
        <v>318</v>
      </c>
      <c r="DV260" t="s">
        <v>289</v>
      </c>
      <c r="DX260" t="s">
        <v>319</v>
      </c>
      <c r="EA260" t="s">
        <v>289</v>
      </c>
    </row>
    <row r="261" spans="1:131" x14ac:dyDescent="0.25">
      <c r="A261">
        <v>28620237</v>
      </c>
      <c r="B261">
        <v>155331</v>
      </c>
      <c r="C261" t="str">
        <f>"080331650288"</f>
        <v>080331650288</v>
      </c>
      <c r="D261" t="s">
        <v>1150</v>
      </c>
      <c r="E261" t="s">
        <v>973</v>
      </c>
      <c r="F261" t="s">
        <v>1151</v>
      </c>
      <c r="G261" s="1">
        <v>39538</v>
      </c>
      <c r="I261" t="s">
        <v>286</v>
      </c>
      <c r="J261" t="s">
        <v>287</v>
      </c>
      <c r="K261" t="s">
        <v>288</v>
      </c>
      <c r="Q261" t="s">
        <v>289</v>
      </c>
      <c r="R261" t="str">
        <f>"КАЗАХСТАН, АКМОЛИНСКАЯ, ЗЕРЕНДИНСКИЙ РАЙОН, Кызылегисский, Ортаагаш, 6"</f>
        <v>КАЗАХСТАН, АКМОЛИНСКАЯ, ЗЕРЕНДИНСКИЙ РАЙОН, Кызылегисский, Ортаагаш, 6</v>
      </c>
      <c r="S261" t="str">
        <f>"ҚАЗАҚСТАН, АҚМОЛА, ЗЕРЕНДІ АУДАНЫ, Кызылегисский, Ортаагаш, 6"</f>
        <v>ҚАЗАҚСТАН, АҚМОЛА, ЗЕРЕНДІ АУДАНЫ, Кызылегисский, Ортаагаш, 6</v>
      </c>
      <c r="T261" t="str">
        <f>"Кызылегисский, Ортаагаш, 6"</f>
        <v>Кызылегисский, Ортаагаш, 6</v>
      </c>
      <c r="U261" t="str">
        <f>"Кызылегисский, Ортаагаш, 6"</f>
        <v>Кызылегисский, Ортаагаш, 6</v>
      </c>
      <c r="AC261" t="str">
        <f>"2024-09-01T00:00:00"</f>
        <v>2024-09-01T00:00:00</v>
      </c>
      <c r="AD261" t="str">
        <f>"24"</f>
        <v>24</v>
      </c>
      <c r="AE261" t="str">
        <f>"2024-09-01T12:43:02"</f>
        <v>2024-09-01T12:43:02</v>
      </c>
      <c r="AF261" t="str">
        <f>"2025-05-25T12:43:02"</f>
        <v>2025-05-25T12:43:02</v>
      </c>
      <c r="AG261" t="s">
        <v>290</v>
      </c>
      <c r="AH261" t="str">
        <f>"syzken_2008@bk.ru"</f>
        <v>syzken_2008@bk.ru</v>
      </c>
      <c r="AI261" t="s">
        <v>291</v>
      </c>
      <c r="AK261" t="s">
        <v>1082</v>
      </c>
      <c r="AP261" t="s">
        <v>293</v>
      </c>
      <c r="AQ261" t="s">
        <v>289</v>
      </c>
      <c r="AT261" t="s">
        <v>294</v>
      </c>
      <c r="AU261" t="s">
        <v>295</v>
      </c>
      <c r="AW261" t="s">
        <v>296</v>
      </c>
      <c r="AX261">
        <v>1</v>
      </c>
      <c r="AY261" t="s">
        <v>297</v>
      </c>
      <c r="AZ261" t="s">
        <v>298</v>
      </c>
      <c r="BA261" t="s">
        <v>349</v>
      </c>
      <c r="BF261" t="s">
        <v>294</v>
      </c>
      <c r="BG261" t="s">
        <v>300</v>
      </c>
      <c r="BI261" t="s">
        <v>298</v>
      </c>
      <c r="BR261" t="s">
        <v>289</v>
      </c>
      <c r="BS261" t="s">
        <v>301</v>
      </c>
      <c r="BT261" t="s">
        <v>302</v>
      </c>
      <c r="BU261" t="s">
        <v>303</v>
      </c>
      <c r="BX261" t="s">
        <v>392</v>
      </c>
      <c r="BY261" t="s">
        <v>298</v>
      </c>
      <c r="BZ261" t="s">
        <v>924</v>
      </c>
      <c r="CA261" t="s">
        <v>404</v>
      </c>
      <c r="CC261" t="s">
        <v>308</v>
      </c>
      <c r="CD261" t="s">
        <v>309</v>
      </c>
      <c r="CE261" t="s">
        <v>294</v>
      </c>
      <c r="CK261" t="s">
        <v>1152</v>
      </c>
      <c r="CL261" t="s">
        <v>311</v>
      </c>
      <c r="CM261" t="s">
        <v>298</v>
      </c>
      <c r="CO261" t="s">
        <v>312</v>
      </c>
      <c r="CT261" t="s">
        <v>294</v>
      </c>
      <c r="CU261" t="s">
        <v>405</v>
      </c>
      <c r="CW261" t="s">
        <v>406</v>
      </c>
      <c r="CX261" t="s">
        <v>316</v>
      </c>
      <c r="CZ261" t="s">
        <v>289</v>
      </c>
      <c r="DA261" t="s">
        <v>289</v>
      </c>
      <c r="DB261" t="s">
        <v>289</v>
      </c>
      <c r="DC261" t="s">
        <v>289</v>
      </c>
      <c r="DI261" t="s">
        <v>289</v>
      </c>
      <c r="DL261" t="s">
        <v>289</v>
      </c>
      <c r="DM261" t="s">
        <v>317</v>
      </c>
      <c r="DS261" t="s">
        <v>289</v>
      </c>
      <c r="DT261" t="s">
        <v>289</v>
      </c>
      <c r="DU261" t="s">
        <v>318</v>
      </c>
      <c r="DV261" t="s">
        <v>289</v>
      </c>
      <c r="DX261" t="s">
        <v>319</v>
      </c>
      <c r="EA261" t="s">
        <v>289</v>
      </c>
    </row>
    <row r="262" spans="1:131" x14ac:dyDescent="0.25">
      <c r="A262">
        <v>28679961</v>
      </c>
      <c r="B262">
        <v>11252996</v>
      </c>
      <c r="C262" t="str">
        <f>"171101602695"</f>
        <v>171101602695</v>
      </c>
      <c r="D262" t="s">
        <v>1157</v>
      </c>
      <c r="E262" t="s">
        <v>1158</v>
      </c>
      <c r="F262" t="s">
        <v>1159</v>
      </c>
      <c r="G262" s="1">
        <v>43040</v>
      </c>
      <c r="I262" t="s">
        <v>286</v>
      </c>
      <c r="J262" t="s">
        <v>287</v>
      </c>
      <c r="K262" t="s">
        <v>288</v>
      </c>
      <c r="Q262" t="s">
        <v>289</v>
      </c>
      <c r="R262" t="str">
        <f>"КАЗАХСТАН, АКМОЛИНСКАЯ, КОКШЕТАУ, 82, 152"</f>
        <v>КАЗАХСТАН, АКМОЛИНСКАЯ, КОКШЕТАУ, 82, 152</v>
      </c>
      <c r="S262" t="str">
        <f>"ҚАЗАҚСТАН, АҚМОЛА, КӨКШЕТАУ, 82, 152"</f>
        <v>ҚАЗАҚСТАН, АҚМОЛА, КӨКШЕТАУ, 82, 152</v>
      </c>
      <c r="T262" t="str">
        <f>"82, 152"</f>
        <v>82, 152</v>
      </c>
      <c r="U262" t="str">
        <f>"82, 152"</f>
        <v>82, 152</v>
      </c>
      <c r="AC262" t="str">
        <f>"2024-09-03T00:00:00"</f>
        <v>2024-09-03T00:00:00</v>
      </c>
      <c r="AD262" t="str">
        <f>"30"</f>
        <v>30</v>
      </c>
      <c r="AE262" t="str">
        <f>"2024-09-01T10:37:02"</f>
        <v>2024-09-01T10:37:02</v>
      </c>
      <c r="AF262" t="str">
        <f>"2025-05-25T10:37:02"</f>
        <v>2025-05-25T10:37:02</v>
      </c>
      <c r="AG262" t="s">
        <v>290</v>
      </c>
      <c r="AI262" t="s">
        <v>373</v>
      </c>
      <c r="AK262" t="s">
        <v>866</v>
      </c>
      <c r="AP262" t="s">
        <v>342</v>
      </c>
      <c r="AT262" t="s">
        <v>294</v>
      </c>
      <c r="AU262" t="s">
        <v>295</v>
      </c>
      <c r="AW262" t="s">
        <v>296</v>
      </c>
      <c r="AX262">
        <v>2</v>
      </c>
      <c r="AY262" t="s">
        <v>297</v>
      </c>
      <c r="AZ262" t="s">
        <v>298</v>
      </c>
      <c r="BA262" t="s">
        <v>323</v>
      </c>
      <c r="BF262" t="s">
        <v>294</v>
      </c>
      <c r="BG262" t="s">
        <v>300</v>
      </c>
      <c r="BI262" t="s">
        <v>298</v>
      </c>
      <c r="BR262" t="s">
        <v>289</v>
      </c>
      <c r="BS262" t="s">
        <v>301</v>
      </c>
      <c r="BT262" t="s">
        <v>302</v>
      </c>
      <c r="BU262" t="s">
        <v>1160</v>
      </c>
      <c r="BV262" t="s">
        <v>365</v>
      </c>
      <c r="BX262" t="s">
        <v>867</v>
      </c>
      <c r="BY262" t="s">
        <v>298</v>
      </c>
      <c r="CC262" t="s">
        <v>309</v>
      </c>
      <c r="CE262" t="s">
        <v>289</v>
      </c>
      <c r="CJ262" t="s">
        <v>704</v>
      </c>
      <c r="CK262" t="s">
        <v>335</v>
      </c>
      <c r="CM262" t="s">
        <v>1161</v>
      </c>
      <c r="CN262" t="s">
        <v>651</v>
      </c>
      <c r="CO262" t="s">
        <v>312</v>
      </c>
      <c r="CT262" t="s">
        <v>294</v>
      </c>
      <c r="CU262" t="s">
        <v>313</v>
      </c>
      <c r="CV262" t="s">
        <v>314</v>
      </c>
      <c r="CW262" t="s">
        <v>315</v>
      </c>
      <c r="CX262" t="s">
        <v>316</v>
      </c>
      <c r="CZ262" t="s">
        <v>289</v>
      </c>
      <c r="DA262" t="s">
        <v>289</v>
      </c>
      <c r="DB262" t="s">
        <v>289</v>
      </c>
      <c r="DC262" t="s">
        <v>289</v>
      </c>
      <c r="DI262" t="s">
        <v>289</v>
      </c>
      <c r="DL262" t="s">
        <v>289</v>
      </c>
      <c r="DM262" t="s">
        <v>317</v>
      </c>
      <c r="DS262" t="s">
        <v>289</v>
      </c>
      <c r="DT262" t="s">
        <v>289</v>
      </c>
      <c r="DU262" t="s">
        <v>318</v>
      </c>
      <c r="DV262" t="s">
        <v>289</v>
      </c>
      <c r="DX262" t="s">
        <v>319</v>
      </c>
      <c r="EA262" t="s">
        <v>294</v>
      </c>
    </row>
    <row r="263" spans="1:131" x14ac:dyDescent="0.25">
      <c r="A263">
        <v>28681101</v>
      </c>
      <c r="B263">
        <v>139567</v>
      </c>
      <c r="C263" t="str">
        <f>"090808652249"</f>
        <v>090808652249</v>
      </c>
      <c r="D263" t="s">
        <v>1162</v>
      </c>
      <c r="E263" t="s">
        <v>1163</v>
      </c>
      <c r="F263" t="s">
        <v>1164</v>
      </c>
      <c r="G263" s="1">
        <v>40033</v>
      </c>
      <c r="I263" t="s">
        <v>286</v>
      </c>
      <c r="J263" t="s">
        <v>287</v>
      </c>
      <c r="K263" t="s">
        <v>288</v>
      </c>
      <c r="Q263" t="s">
        <v>289</v>
      </c>
      <c r="R263" t="str">
        <f>"КАЗАХСТАН, АКМОЛИНСКАЯ, ЗЕРЕНДИНСКИЙ РАЙОН, Зерендинский, Зеренда, 11, 1"</f>
        <v>КАЗАХСТАН, АКМОЛИНСКАЯ, ЗЕРЕНДИНСКИЙ РАЙОН, Зерендинский, Зеренда, 11, 1</v>
      </c>
      <c r="S263" t="str">
        <f>"ҚАЗАҚСТАН, АҚМОЛА, ЗЕРЕНДІ АУДАНЫ, Зерендинский, Зеренда, 11, 1"</f>
        <v>ҚАЗАҚСТАН, АҚМОЛА, ЗЕРЕНДІ АУДАНЫ, Зерендинский, Зеренда, 11, 1</v>
      </c>
      <c r="T263" t="str">
        <f>"Зерендинский, Зеренда, 11, 1"</f>
        <v>Зерендинский, Зеренда, 11, 1</v>
      </c>
      <c r="U263" t="str">
        <f>"Зерендинский, Зеренда, 11, 1"</f>
        <v>Зерендинский, Зеренда, 11, 1</v>
      </c>
      <c r="AC263" t="str">
        <f>"2024-09-03T00:00:00"</f>
        <v>2024-09-03T00:00:00</v>
      </c>
      <c r="AD263" t="str">
        <f>"28"</f>
        <v>28</v>
      </c>
      <c r="AE263" t="str">
        <f>"2024-09-01T18:30:35"</f>
        <v>2024-09-01T18:30:35</v>
      </c>
      <c r="AF263" t="str">
        <f>"2025-05-25T18:30:35"</f>
        <v>2025-05-25T18:30:35</v>
      </c>
      <c r="AG263" t="s">
        <v>290</v>
      </c>
      <c r="AH263" t="str">
        <f>"zerendash1@mail.ru"</f>
        <v>zerendash1@mail.ru</v>
      </c>
      <c r="AI263" t="s">
        <v>373</v>
      </c>
      <c r="AK263" t="s">
        <v>402</v>
      </c>
      <c r="AP263" t="s">
        <v>293</v>
      </c>
      <c r="AT263" t="s">
        <v>294</v>
      </c>
      <c r="AU263" t="s">
        <v>295</v>
      </c>
      <c r="AW263" t="s">
        <v>296</v>
      </c>
      <c r="AX263">
        <v>1</v>
      </c>
      <c r="AY263" t="s">
        <v>297</v>
      </c>
      <c r="AZ263" t="s">
        <v>298</v>
      </c>
      <c r="BA263" t="s">
        <v>349</v>
      </c>
      <c r="BF263" t="s">
        <v>294</v>
      </c>
      <c r="BG263" t="s">
        <v>300</v>
      </c>
      <c r="BI263" t="s">
        <v>298</v>
      </c>
      <c r="BR263" t="s">
        <v>289</v>
      </c>
      <c r="BS263" t="s">
        <v>301</v>
      </c>
      <c r="BT263" t="s">
        <v>302</v>
      </c>
      <c r="BU263" t="s">
        <v>1160</v>
      </c>
      <c r="BX263" t="s">
        <v>305</v>
      </c>
      <c r="BY263" t="s">
        <v>298</v>
      </c>
      <c r="BZ263" t="s">
        <v>924</v>
      </c>
      <c r="CA263" t="s">
        <v>1165</v>
      </c>
      <c r="CC263" t="s">
        <v>308</v>
      </c>
      <c r="CD263" t="s">
        <v>309</v>
      </c>
      <c r="CE263" t="s">
        <v>294</v>
      </c>
      <c r="CK263" t="s">
        <v>361</v>
      </c>
      <c r="CL263" t="s">
        <v>328</v>
      </c>
      <c r="CM263" t="s">
        <v>631</v>
      </c>
      <c r="CN263" t="s">
        <v>487</v>
      </c>
      <c r="CO263" t="s">
        <v>312</v>
      </c>
      <c r="CT263" t="s">
        <v>294</v>
      </c>
      <c r="CU263" t="s">
        <v>405</v>
      </c>
      <c r="CW263" t="s">
        <v>406</v>
      </c>
      <c r="CX263" t="s">
        <v>316</v>
      </c>
      <c r="CZ263" t="s">
        <v>289</v>
      </c>
      <c r="DA263" t="s">
        <v>289</v>
      </c>
      <c r="DB263" t="s">
        <v>289</v>
      </c>
      <c r="DC263" t="s">
        <v>289</v>
      </c>
      <c r="DI263" t="s">
        <v>289</v>
      </c>
      <c r="DL263" t="s">
        <v>289</v>
      </c>
      <c r="DM263" t="s">
        <v>317</v>
      </c>
      <c r="DS263" t="s">
        <v>289</v>
      </c>
      <c r="DT263" t="s">
        <v>289</v>
      </c>
      <c r="DU263" t="s">
        <v>318</v>
      </c>
      <c r="DV263" t="s">
        <v>289</v>
      </c>
      <c r="DX263" t="s">
        <v>319</v>
      </c>
      <c r="EA263" t="s">
        <v>289</v>
      </c>
    </row>
    <row r="264" spans="1:131" x14ac:dyDescent="0.25">
      <c r="A264">
        <v>29268881</v>
      </c>
      <c r="B264">
        <v>142090</v>
      </c>
      <c r="C264" t="str">
        <f>"120312600347"</f>
        <v>120312600347</v>
      </c>
      <c r="D264" t="s">
        <v>1189</v>
      </c>
      <c r="E264" t="s">
        <v>1190</v>
      </c>
      <c r="G264" s="1">
        <v>40980</v>
      </c>
      <c r="I264" t="s">
        <v>286</v>
      </c>
      <c r="J264" t="s">
        <v>287</v>
      </c>
      <c r="K264" t="s">
        <v>288</v>
      </c>
      <c r="Q264" t="s">
        <v>289</v>
      </c>
      <c r="R264" t="str">
        <f>"КАЗАХСТАН, АКМОЛИНСКАЯ, ЗЕРЕНДИНСКИЙ РАЙОН, ЗЕРЕНДІ, 23"</f>
        <v>КАЗАХСТАН, АКМОЛИНСКАЯ, ЗЕРЕНДИНСКИЙ РАЙОН, ЗЕРЕНДІ, 23</v>
      </c>
      <c r="S264" t="str">
        <f>"ҚАЗАҚСТАН, АҚМОЛА, ЗЕРЕНДІ АУДАНЫ, ЗЕРЕНДІ, 23"</f>
        <v>ҚАЗАҚСТАН, АҚМОЛА, ЗЕРЕНДІ АУДАНЫ, ЗЕРЕНДІ, 23</v>
      </c>
      <c r="T264" t="str">
        <f>"ЗЕРЕНДІ, 23"</f>
        <v>ЗЕРЕНДІ, 23</v>
      </c>
      <c r="U264" t="str">
        <f>"ЗЕРЕНДІ, 23"</f>
        <v>ЗЕРЕНДІ, 23</v>
      </c>
      <c r="AC264" t="str">
        <f>"2024-09-26T00:00:00"</f>
        <v>2024-09-26T00:00:00</v>
      </c>
      <c r="AD264" t="str">
        <f>"34"</f>
        <v>34</v>
      </c>
      <c r="AE264" t="str">
        <f>"2024-09-01T16:47:41"</f>
        <v>2024-09-01T16:47:41</v>
      </c>
      <c r="AF264" t="str">
        <f>"2025-05-25T16:47:41"</f>
        <v>2025-05-25T16:47:41</v>
      </c>
      <c r="AG264" t="s">
        <v>290</v>
      </c>
      <c r="AI264" t="s">
        <v>476</v>
      </c>
      <c r="AK264" t="s">
        <v>292</v>
      </c>
      <c r="AP264" t="s">
        <v>293</v>
      </c>
      <c r="AT264" t="s">
        <v>294</v>
      </c>
      <c r="AU264" t="s">
        <v>295</v>
      </c>
      <c r="AW264" t="s">
        <v>296</v>
      </c>
      <c r="AX264">
        <v>1</v>
      </c>
      <c r="AY264" t="s">
        <v>297</v>
      </c>
      <c r="AZ264" t="s">
        <v>298</v>
      </c>
      <c r="BA264" t="s">
        <v>349</v>
      </c>
      <c r="BF264" t="s">
        <v>294</v>
      </c>
      <c r="BG264" t="s">
        <v>300</v>
      </c>
      <c r="BI264" t="s">
        <v>298</v>
      </c>
      <c r="BR264" t="s">
        <v>289</v>
      </c>
      <c r="BS264" t="s">
        <v>301</v>
      </c>
      <c r="BT264" t="s">
        <v>302</v>
      </c>
      <c r="BU264" t="s">
        <v>303</v>
      </c>
      <c r="BV264" t="s">
        <v>1191</v>
      </c>
      <c r="BX264" t="s">
        <v>305</v>
      </c>
      <c r="BY264" t="s">
        <v>298</v>
      </c>
      <c r="BZ264" t="s">
        <v>920</v>
      </c>
      <c r="CA264" t="s">
        <v>914</v>
      </c>
      <c r="CC264" t="s">
        <v>308</v>
      </c>
      <c r="CD264" t="s">
        <v>309</v>
      </c>
      <c r="CE264" t="s">
        <v>294</v>
      </c>
      <c r="CK264" t="s">
        <v>335</v>
      </c>
      <c r="CM264" t="s">
        <v>298</v>
      </c>
      <c r="CO264" t="s">
        <v>312</v>
      </c>
      <c r="CT264" t="s">
        <v>294</v>
      </c>
      <c r="CU264" t="s">
        <v>313</v>
      </c>
      <c r="CV264" t="s">
        <v>314</v>
      </c>
      <c r="CW264" t="s">
        <v>315</v>
      </c>
      <c r="CX264" t="s">
        <v>316</v>
      </c>
      <c r="CZ264" t="s">
        <v>289</v>
      </c>
      <c r="DA264" t="s">
        <v>289</v>
      </c>
      <c r="DB264" t="s">
        <v>289</v>
      </c>
      <c r="DC264" t="s">
        <v>289</v>
      </c>
      <c r="DI264" t="s">
        <v>289</v>
      </c>
      <c r="DL264" t="s">
        <v>289</v>
      </c>
      <c r="DM264" t="s">
        <v>317</v>
      </c>
      <c r="DS264" t="s">
        <v>289</v>
      </c>
      <c r="DT264" t="s">
        <v>289</v>
      </c>
      <c r="DU264" t="s">
        <v>318</v>
      </c>
      <c r="DV264" t="s">
        <v>289</v>
      </c>
      <c r="DX264" t="s">
        <v>368</v>
      </c>
      <c r="DY264" t="s">
        <v>369</v>
      </c>
      <c r="EA264" t="s">
        <v>294</v>
      </c>
    </row>
    <row r="265" spans="1:131" x14ac:dyDescent="0.25">
      <c r="A265">
        <v>29272678</v>
      </c>
      <c r="B265">
        <v>73462</v>
      </c>
      <c r="C265" t="str">
        <f>"080928650759"</f>
        <v>080928650759</v>
      </c>
      <c r="D265" t="s">
        <v>1192</v>
      </c>
      <c r="E265" t="s">
        <v>1121</v>
      </c>
      <c r="F265" t="s">
        <v>543</v>
      </c>
      <c r="G265" s="1">
        <v>39719</v>
      </c>
      <c r="I265" t="s">
        <v>286</v>
      </c>
      <c r="J265" t="s">
        <v>287</v>
      </c>
      <c r="K265" t="s">
        <v>288</v>
      </c>
      <c r="Q265" t="s">
        <v>289</v>
      </c>
      <c r="R265" t="str">
        <f>"КАЗАХСТАН, АКМОЛИНСКАЯ, ЗЕРЕНДИНСКИЙ РАЙОН, Зерендинский, Айдарлы, 40"</f>
        <v>КАЗАХСТАН, АКМОЛИНСКАЯ, ЗЕРЕНДИНСКИЙ РАЙОН, Зерендинский, Айдарлы, 40</v>
      </c>
      <c r="S265" t="str">
        <f>"ҚАЗАҚСТАН, АҚМОЛА, ЗЕРЕНДІ АУДАНЫ, Зерендинский, Айдарлы, 40"</f>
        <v>ҚАЗАҚСТАН, АҚМОЛА, ЗЕРЕНДІ АУДАНЫ, Зерендинский, Айдарлы, 40</v>
      </c>
      <c r="T265" t="str">
        <f>"Зерендинский, Айдарлы, 40"</f>
        <v>Зерендинский, Айдарлы, 40</v>
      </c>
      <c r="U265" t="str">
        <f>"Зерендинский, Айдарлы, 40"</f>
        <v>Зерендинский, Айдарлы, 40</v>
      </c>
      <c r="AC265" t="str">
        <f>"2024-09-23T00:00:00"</f>
        <v>2024-09-23T00:00:00</v>
      </c>
      <c r="AD265" t="str">
        <f>"33"</f>
        <v>33</v>
      </c>
      <c r="AE265" t="str">
        <f>"2024-09-01T18:45:25"</f>
        <v>2024-09-01T18:45:25</v>
      </c>
      <c r="AF265" t="str">
        <f>"2025-05-25T18:45:25"</f>
        <v>2025-05-25T18:45:25</v>
      </c>
      <c r="AG265" t="s">
        <v>290</v>
      </c>
      <c r="AH265" t="str">
        <f>"tasymovazarina513@gmail.com"</f>
        <v>tasymovazarina513@gmail.com</v>
      </c>
      <c r="AI265" t="s">
        <v>476</v>
      </c>
      <c r="AK265" t="s">
        <v>1082</v>
      </c>
      <c r="AP265" t="s">
        <v>342</v>
      </c>
      <c r="AT265" t="s">
        <v>294</v>
      </c>
      <c r="AU265" t="s">
        <v>679</v>
      </c>
      <c r="AW265" t="s">
        <v>296</v>
      </c>
      <c r="AX265">
        <v>1</v>
      </c>
      <c r="AY265" t="s">
        <v>297</v>
      </c>
      <c r="AZ265" t="s">
        <v>298</v>
      </c>
      <c r="BA265" t="s">
        <v>349</v>
      </c>
      <c r="BF265" t="s">
        <v>294</v>
      </c>
      <c r="BG265" t="s">
        <v>300</v>
      </c>
      <c r="BI265" t="s">
        <v>298</v>
      </c>
      <c r="BR265" t="s">
        <v>289</v>
      </c>
      <c r="BS265" t="s">
        <v>433</v>
      </c>
      <c r="BT265" t="s">
        <v>434</v>
      </c>
      <c r="BU265" t="s">
        <v>303</v>
      </c>
      <c r="BV265" t="s">
        <v>304</v>
      </c>
      <c r="BX265" t="s">
        <v>324</v>
      </c>
      <c r="BY265" t="s">
        <v>298</v>
      </c>
      <c r="BZ265" t="s">
        <v>924</v>
      </c>
      <c r="CA265" t="s">
        <v>410</v>
      </c>
      <c r="CC265" t="s">
        <v>308</v>
      </c>
      <c r="CD265" t="s">
        <v>309</v>
      </c>
      <c r="CE265" t="s">
        <v>294</v>
      </c>
      <c r="CK265" t="s">
        <v>327</v>
      </c>
      <c r="CL265" t="s">
        <v>328</v>
      </c>
      <c r="CM265" t="s">
        <v>298</v>
      </c>
      <c r="CO265" t="s">
        <v>312</v>
      </c>
      <c r="CT265" t="s">
        <v>294</v>
      </c>
      <c r="CU265" t="s">
        <v>313</v>
      </c>
      <c r="CW265" t="s">
        <v>406</v>
      </c>
      <c r="CX265" t="s">
        <v>316</v>
      </c>
      <c r="CZ265" t="s">
        <v>289</v>
      </c>
      <c r="DA265" t="s">
        <v>289</v>
      </c>
      <c r="DB265" t="s">
        <v>289</v>
      </c>
      <c r="DC265" t="s">
        <v>289</v>
      </c>
      <c r="DI265" t="s">
        <v>289</v>
      </c>
      <c r="DL265" t="s">
        <v>289</v>
      </c>
      <c r="DM265" t="s">
        <v>317</v>
      </c>
      <c r="DS265" t="s">
        <v>289</v>
      </c>
      <c r="DT265" t="s">
        <v>289</v>
      </c>
      <c r="DU265" t="s">
        <v>318</v>
      </c>
      <c r="DV265" t="s">
        <v>289</v>
      </c>
      <c r="DX265" t="s">
        <v>319</v>
      </c>
      <c r="EA265" t="s">
        <v>289</v>
      </c>
    </row>
    <row r="266" spans="1:131" x14ac:dyDescent="0.25">
      <c r="A266">
        <v>29414047</v>
      </c>
      <c r="B266">
        <v>7385427</v>
      </c>
      <c r="C266" t="str">
        <f>"170915502374"</f>
        <v>170915502374</v>
      </c>
      <c r="D266" t="s">
        <v>1193</v>
      </c>
      <c r="E266" t="s">
        <v>499</v>
      </c>
      <c r="F266" t="s">
        <v>1194</v>
      </c>
      <c r="G266" s="1">
        <v>42993</v>
      </c>
      <c r="I266" t="s">
        <v>353</v>
      </c>
      <c r="J266" t="s">
        <v>287</v>
      </c>
      <c r="K266" t="s">
        <v>288</v>
      </c>
      <c r="Q266" t="s">
        <v>289</v>
      </c>
      <c r="R266" t="str">
        <f>"КАЗАХСТАН, АКМОЛИНСКАЯ, ЗЕРЕНДИНСКИЙ РАЙОН, Зерендинский, Зеренда, 30"</f>
        <v>КАЗАХСТАН, АКМОЛИНСКАЯ, ЗЕРЕНДИНСКИЙ РАЙОН, Зерендинский, Зеренда, 30</v>
      </c>
      <c r="S266" t="str">
        <f>"ҚАЗАҚСТАН, АҚМОЛА, ЗЕРЕНДІ АУДАНЫ, Зерендинский, Зеренда, 30"</f>
        <v>ҚАЗАҚСТАН, АҚМОЛА, ЗЕРЕНДІ АУДАНЫ, Зерендинский, Зеренда, 30</v>
      </c>
      <c r="T266" t="str">
        <f>"Зерендинский, Зеренда, 30"</f>
        <v>Зерендинский, Зеренда, 30</v>
      </c>
      <c r="U266" t="str">
        <f>"Зерендинский, Зеренда, 30"</f>
        <v>Зерендинский, Зеренда, 30</v>
      </c>
      <c r="AC266" t="str">
        <f>"2024-10-30T00:00:00"</f>
        <v>2024-10-30T00:00:00</v>
      </c>
      <c r="AD266" t="str">
        <f>"37"</f>
        <v>37</v>
      </c>
      <c r="AE266" t="str">
        <f>"2024-09-01T10:52:06"</f>
        <v>2024-09-01T10:52:06</v>
      </c>
      <c r="AF266" t="str">
        <f>"2025-05-25T10:52:06"</f>
        <v>2025-05-25T10:52:06</v>
      </c>
      <c r="AG266" t="s">
        <v>290</v>
      </c>
      <c r="AI266" t="s">
        <v>373</v>
      </c>
      <c r="AK266" t="s">
        <v>866</v>
      </c>
      <c r="AP266" t="s">
        <v>342</v>
      </c>
      <c r="AT266" t="s">
        <v>294</v>
      </c>
      <c r="AU266" t="s">
        <v>295</v>
      </c>
      <c r="AW266" t="s">
        <v>296</v>
      </c>
      <c r="AX266">
        <v>2</v>
      </c>
      <c r="AY266" t="s">
        <v>297</v>
      </c>
      <c r="AZ266" t="s">
        <v>298</v>
      </c>
      <c r="BA266" t="s">
        <v>349</v>
      </c>
      <c r="BF266" t="s">
        <v>294</v>
      </c>
      <c r="BG266" t="s">
        <v>300</v>
      </c>
      <c r="BI266" t="s">
        <v>298</v>
      </c>
      <c r="BR266" t="s">
        <v>289</v>
      </c>
      <c r="BS266" t="s">
        <v>301</v>
      </c>
      <c r="BT266" t="s">
        <v>302</v>
      </c>
      <c r="BU266" t="s">
        <v>303</v>
      </c>
      <c r="BV266" t="s">
        <v>365</v>
      </c>
      <c r="BX266" t="s">
        <v>867</v>
      </c>
      <c r="BY266" t="s">
        <v>298</v>
      </c>
      <c r="CC266" t="s">
        <v>309</v>
      </c>
      <c r="CE266" t="s">
        <v>289</v>
      </c>
      <c r="CJ266" t="s">
        <v>704</v>
      </c>
      <c r="CK266" t="s">
        <v>335</v>
      </c>
      <c r="CM266" t="s">
        <v>298</v>
      </c>
      <c r="CO266" t="s">
        <v>312</v>
      </c>
      <c r="CT266" t="s">
        <v>294</v>
      </c>
      <c r="CU266" t="s">
        <v>313</v>
      </c>
      <c r="CV266" t="s">
        <v>314</v>
      </c>
      <c r="CW266" t="s">
        <v>315</v>
      </c>
      <c r="CX266" t="s">
        <v>316</v>
      </c>
      <c r="CZ266" t="s">
        <v>289</v>
      </c>
      <c r="DA266" t="s">
        <v>289</v>
      </c>
      <c r="DB266" t="s">
        <v>289</v>
      </c>
      <c r="DC266" t="s">
        <v>289</v>
      </c>
      <c r="DI266" t="s">
        <v>289</v>
      </c>
      <c r="DL266" t="s">
        <v>289</v>
      </c>
      <c r="DM266" t="s">
        <v>317</v>
      </c>
      <c r="DS266" t="s">
        <v>289</v>
      </c>
      <c r="DT266" t="s">
        <v>289</v>
      </c>
      <c r="DU266" t="s">
        <v>318</v>
      </c>
      <c r="DV266" t="s">
        <v>289</v>
      </c>
      <c r="DX266" t="s">
        <v>319</v>
      </c>
      <c r="EA266" t="s">
        <v>289</v>
      </c>
    </row>
    <row r="267" spans="1:131" x14ac:dyDescent="0.25">
      <c r="A267">
        <v>29414056</v>
      </c>
      <c r="B267">
        <v>969405</v>
      </c>
      <c r="C267" t="str">
        <f>"150731600757"</f>
        <v>150731600757</v>
      </c>
      <c r="D267" t="s">
        <v>1195</v>
      </c>
      <c r="E267" t="s">
        <v>662</v>
      </c>
      <c r="F267" t="s">
        <v>1196</v>
      </c>
      <c r="G267" s="1">
        <v>42216</v>
      </c>
      <c r="I267" t="s">
        <v>286</v>
      </c>
      <c r="J267" t="s">
        <v>287</v>
      </c>
      <c r="K267" t="s">
        <v>288</v>
      </c>
      <c r="Q267" t="s">
        <v>289</v>
      </c>
      <c r="R267" t="str">
        <f>"КАЗАХСТАН, АКМОЛИНСКАЯ, ЗЕРЕНДИНСКИЙ РАЙОН, Зерендинский, Зеренда, 30"</f>
        <v>КАЗАХСТАН, АКМОЛИНСКАЯ, ЗЕРЕНДИНСКИЙ РАЙОН, Зерендинский, Зеренда, 30</v>
      </c>
      <c r="S267" t="str">
        <f>"ҚАЗАҚСТАН, АҚМОЛА, ЗЕРЕНДІ АУДАНЫ, Зерендинский, Зеренда, 30"</f>
        <v>ҚАЗАҚСТАН, АҚМОЛА, ЗЕРЕНДІ АУДАНЫ, Зерендинский, Зеренда, 30</v>
      </c>
      <c r="T267" t="str">
        <f>"Зерендинский, Зеренда, 30"</f>
        <v>Зерендинский, Зеренда, 30</v>
      </c>
      <c r="U267" t="str">
        <f>"Зерендинский, Зеренда, 30"</f>
        <v>Зерендинский, Зеренда, 30</v>
      </c>
      <c r="AC267" t="str">
        <f>"2024-10-30T00:00:00"</f>
        <v>2024-10-30T00:00:00</v>
      </c>
      <c r="AD267" t="str">
        <f>"37"</f>
        <v>37</v>
      </c>
      <c r="AE267" t="str">
        <f>"2024-09-01T11:58:56"</f>
        <v>2024-09-01T11:58:56</v>
      </c>
      <c r="AF267" t="str">
        <f>"2025-05-25T11:58:56"</f>
        <v>2025-05-25T11:58:56</v>
      </c>
      <c r="AG267" t="s">
        <v>290</v>
      </c>
      <c r="AI267" t="s">
        <v>373</v>
      </c>
      <c r="AK267" t="s">
        <v>703</v>
      </c>
      <c r="AP267" t="s">
        <v>293</v>
      </c>
      <c r="AQ267" t="s">
        <v>289</v>
      </c>
      <c r="AT267" t="s">
        <v>294</v>
      </c>
      <c r="AU267" t="s">
        <v>295</v>
      </c>
      <c r="AW267" t="s">
        <v>296</v>
      </c>
      <c r="AX267">
        <v>2</v>
      </c>
      <c r="AY267" t="s">
        <v>297</v>
      </c>
      <c r="AZ267" t="s">
        <v>298</v>
      </c>
      <c r="BA267" t="s">
        <v>349</v>
      </c>
      <c r="BF267" t="s">
        <v>294</v>
      </c>
      <c r="BG267" t="s">
        <v>300</v>
      </c>
      <c r="BI267" t="s">
        <v>298</v>
      </c>
      <c r="BR267" t="s">
        <v>289</v>
      </c>
      <c r="BS267" t="s">
        <v>301</v>
      </c>
      <c r="BT267" t="s">
        <v>302</v>
      </c>
      <c r="BU267" t="s">
        <v>303</v>
      </c>
      <c r="BV267" t="s">
        <v>365</v>
      </c>
      <c r="BX267" t="s">
        <v>324</v>
      </c>
      <c r="BY267" t="s">
        <v>298</v>
      </c>
      <c r="BZ267" t="s">
        <v>920</v>
      </c>
      <c r="CA267" t="s">
        <v>511</v>
      </c>
      <c r="CC267" t="s">
        <v>308</v>
      </c>
      <c r="CD267" t="s">
        <v>309</v>
      </c>
      <c r="CE267" t="s">
        <v>294</v>
      </c>
      <c r="CJ267" t="s">
        <v>1036</v>
      </c>
      <c r="CK267" t="s">
        <v>772</v>
      </c>
      <c r="CL267" t="s">
        <v>328</v>
      </c>
      <c r="CM267" t="s">
        <v>298</v>
      </c>
      <c r="CO267" t="s">
        <v>748</v>
      </c>
      <c r="CP267" t="s">
        <v>749</v>
      </c>
      <c r="CQ267" t="s">
        <v>861</v>
      </c>
      <c r="CR267" t="s">
        <v>675</v>
      </c>
      <c r="CS267" t="s">
        <v>1197</v>
      </c>
      <c r="CT267" t="s">
        <v>294</v>
      </c>
      <c r="CU267" t="s">
        <v>313</v>
      </c>
      <c r="CV267" t="s">
        <v>314</v>
      </c>
      <c r="CW267" t="s">
        <v>315</v>
      </c>
      <c r="CX267" t="s">
        <v>316</v>
      </c>
      <c r="CZ267" t="s">
        <v>289</v>
      </c>
      <c r="DA267" t="s">
        <v>289</v>
      </c>
      <c r="DB267" t="s">
        <v>289</v>
      </c>
      <c r="DC267" t="s">
        <v>289</v>
      </c>
      <c r="DI267" t="s">
        <v>289</v>
      </c>
      <c r="DL267" t="s">
        <v>289</v>
      </c>
      <c r="DM267" t="s">
        <v>317</v>
      </c>
      <c r="DS267" t="s">
        <v>289</v>
      </c>
      <c r="DT267" t="s">
        <v>289</v>
      </c>
      <c r="DU267" t="s">
        <v>318</v>
      </c>
      <c r="DV267" t="s">
        <v>289</v>
      </c>
      <c r="DX267" t="s">
        <v>319</v>
      </c>
      <c r="EA267" t="s">
        <v>289</v>
      </c>
    </row>
    <row r="268" spans="1:131" x14ac:dyDescent="0.25">
      <c r="A268">
        <v>29463139</v>
      </c>
      <c r="B268">
        <v>5190444</v>
      </c>
      <c r="C268" t="str">
        <f>"100816552111"</f>
        <v>100816552111</v>
      </c>
      <c r="D268" t="s">
        <v>1198</v>
      </c>
      <c r="E268" t="s">
        <v>1199</v>
      </c>
      <c r="F268" t="s">
        <v>1200</v>
      </c>
      <c r="G268" s="1">
        <v>40406</v>
      </c>
      <c r="I268" t="s">
        <v>353</v>
      </c>
      <c r="J268" t="s">
        <v>287</v>
      </c>
      <c r="K268" t="s">
        <v>288</v>
      </c>
      <c r="Q268" t="s">
        <v>289</v>
      </c>
      <c r="R268" t="str">
        <f>"КАЗАХСТАН, АКМОЛИНСКАЯ, КОКШЕТАУ, 31"</f>
        <v>КАЗАХСТАН, АКМОЛИНСКАЯ, КОКШЕТАУ, 31</v>
      </c>
      <c r="S268" t="str">
        <f>"ҚАЗАҚСТАН, АҚМОЛА, КӨКШЕТАУ, 31"</f>
        <v>ҚАЗАҚСТАН, АҚМОЛА, КӨКШЕТАУ, 31</v>
      </c>
      <c r="T268" t="str">
        <f>"31"</f>
        <v>31</v>
      </c>
      <c r="U268" t="str">
        <f>"31"</f>
        <v>31</v>
      </c>
      <c r="AC268" t="str">
        <f>"2024-10-31T00:00:00"</f>
        <v>2024-10-31T00:00:00</v>
      </c>
      <c r="AD268" t="str">
        <f>"38"</f>
        <v>38</v>
      </c>
      <c r="AE268" t="str">
        <f>"2024-09-01T18:31:10"</f>
        <v>2024-09-01T18:31:10</v>
      </c>
      <c r="AF268" t="str">
        <f>"2025-05-25T18:31:10"</f>
        <v>2025-05-25T18:31:10</v>
      </c>
      <c r="AG268" t="s">
        <v>622</v>
      </c>
      <c r="AH268" t="str">
        <f>"s21.shkola@mail.ru"</f>
        <v>s21.shkola@mail.ru</v>
      </c>
      <c r="AI268" t="s">
        <v>373</v>
      </c>
      <c r="AK268" t="s">
        <v>402</v>
      </c>
      <c r="AP268" t="s">
        <v>293</v>
      </c>
      <c r="AT268" t="s">
        <v>294</v>
      </c>
      <c r="AU268" t="s">
        <v>295</v>
      </c>
      <c r="AW268" t="s">
        <v>296</v>
      </c>
      <c r="AX268">
        <v>1</v>
      </c>
      <c r="AY268" t="s">
        <v>297</v>
      </c>
      <c r="AZ268" t="s">
        <v>298</v>
      </c>
      <c r="BA268" t="s">
        <v>349</v>
      </c>
      <c r="BF268" t="s">
        <v>294</v>
      </c>
      <c r="BG268" t="s">
        <v>300</v>
      </c>
      <c r="BI268" t="s">
        <v>298</v>
      </c>
      <c r="BR268" t="s">
        <v>289</v>
      </c>
      <c r="BS268" t="s">
        <v>301</v>
      </c>
      <c r="BT268" t="s">
        <v>302</v>
      </c>
      <c r="BU268" t="s">
        <v>303</v>
      </c>
      <c r="BX268" t="s">
        <v>305</v>
      </c>
      <c r="BY268" t="s">
        <v>298</v>
      </c>
      <c r="BZ268" t="s">
        <v>924</v>
      </c>
      <c r="CA268" t="s">
        <v>454</v>
      </c>
      <c r="CC268" t="s">
        <v>308</v>
      </c>
      <c r="CD268" t="s">
        <v>309</v>
      </c>
      <c r="CE268" t="s">
        <v>294</v>
      </c>
      <c r="CK268" t="s">
        <v>335</v>
      </c>
      <c r="CM268" t="s">
        <v>1201</v>
      </c>
      <c r="CN268" t="s">
        <v>328</v>
      </c>
      <c r="CO268" t="s">
        <v>312</v>
      </c>
      <c r="CT268" t="s">
        <v>294</v>
      </c>
      <c r="CU268" t="s">
        <v>313</v>
      </c>
      <c r="CW268" t="s">
        <v>406</v>
      </c>
      <c r="CX268" t="s">
        <v>316</v>
      </c>
      <c r="CZ268" t="s">
        <v>289</v>
      </c>
      <c r="DA268" t="s">
        <v>289</v>
      </c>
      <c r="DB268" t="s">
        <v>289</v>
      </c>
      <c r="DC268" t="s">
        <v>289</v>
      </c>
      <c r="DI268" t="s">
        <v>289</v>
      </c>
      <c r="DL268" t="s">
        <v>289</v>
      </c>
      <c r="DM268" t="s">
        <v>317</v>
      </c>
      <c r="DS268" t="s">
        <v>289</v>
      </c>
      <c r="DT268" t="s">
        <v>289</v>
      </c>
      <c r="DU268" t="s">
        <v>318</v>
      </c>
      <c r="DV268" t="s">
        <v>289</v>
      </c>
      <c r="DX268" t="s">
        <v>319</v>
      </c>
      <c r="EA268" t="s">
        <v>294</v>
      </c>
    </row>
    <row r="269" spans="1:131" x14ac:dyDescent="0.25">
      <c r="A269">
        <v>29485613</v>
      </c>
      <c r="B269">
        <v>12766318</v>
      </c>
      <c r="C269" t="str">
        <f>"160620605459"</f>
        <v>160620605459</v>
      </c>
      <c r="D269" t="s">
        <v>1202</v>
      </c>
      <c r="E269" t="s">
        <v>973</v>
      </c>
      <c r="F269" t="s">
        <v>1203</v>
      </c>
      <c r="G269" s="1">
        <v>42541</v>
      </c>
      <c r="I269" t="s">
        <v>286</v>
      </c>
      <c r="J269" t="s">
        <v>287</v>
      </c>
      <c r="K269" t="s">
        <v>288</v>
      </c>
      <c r="Q269" t="s">
        <v>289</v>
      </c>
      <c r="R269" t="str">
        <f>"КАЗАХСТАН, АКМОЛИНСКАЯ, ЗЕРЕНДИНСКИЙ РАЙОН, Зерендинский, Зеренда, 22, 7"</f>
        <v>КАЗАХСТАН, АКМОЛИНСКАЯ, ЗЕРЕНДИНСКИЙ РАЙОН, Зерендинский, Зеренда, 22, 7</v>
      </c>
      <c r="S269" t="str">
        <f>"ҚАЗАҚСТАН, АҚМОЛА, ЗЕРЕНДІ АУДАНЫ, Зерендинский, Зеренда, 22, 7"</f>
        <v>ҚАЗАҚСТАН, АҚМОЛА, ЗЕРЕНДІ АУДАНЫ, Зерендинский, Зеренда, 22, 7</v>
      </c>
      <c r="T269" t="str">
        <f>"Зерендинский, Зеренда, 22, 7"</f>
        <v>Зерендинский, Зеренда, 22, 7</v>
      </c>
      <c r="U269" t="str">
        <f>"Зерендинский, Зеренда, 22, 7"</f>
        <v>Зерендинский, Зеренда, 22, 7</v>
      </c>
      <c r="AC269" t="str">
        <f>"2024-11-06T00:00:00"</f>
        <v>2024-11-06T00:00:00</v>
      </c>
      <c r="AD269" t="str">
        <f>"42"</f>
        <v>42</v>
      </c>
      <c r="AE269" t="str">
        <f>"2024-09-01T10:54:19"</f>
        <v>2024-09-01T10:54:19</v>
      </c>
      <c r="AF269" t="str">
        <f>"2025-05-25T10:54:19"</f>
        <v>2025-05-25T10:54:19</v>
      </c>
      <c r="AG269" t="s">
        <v>622</v>
      </c>
      <c r="AI269" t="s">
        <v>476</v>
      </c>
      <c r="AK269" t="s">
        <v>866</v>
      </c>
      <c r="AP269" t="s">
        <v>342</v>
      </c>
      <c r="AT269" t="s">
        <v>294</v>
      </c>
      <c r="AU269" t="s">
        <v>295</v>
      </c>
      <c r="AW269" t="s">
        <v>296</v>
      </c>
      <c r="AX269">
        <v>2</v>
      </c>
      <c r="AY269" t="s">
        <v>297</v>
      </c>
      <c r="AZ269" t="s">
        <v>298</v>
      </c>
      <c r="BA269" t="s">
        <v>349</v>
      </c>
      <c r="BF269" t="s">
        <v>294</v>
      </c>
      <c r="BG269" t="s">
        <v>300</v>
      </c>
      <c r="BI269" t="s">
        <v>298</v>
      </c>
      <c r="BR269" t="s">
        <v>289</v>
      </c>
      <c r="BS269" t="s">
        <v>301</v>
      </c>
      <c r="BT269" t="s">
        <v>302</v>
      </c>
      <c r="BU269" t="s">
        <v>303</v>
      </c>
      <c r="BV269" t="s">
        <v>365</v>
      </c>
      <c r="BX269" t="s">
        <v>324</v>
      </c>
      <c r="BY269" t="s">
        <v>298</v>
      </c>
      <c r="BZ269" t="s">
        <v>343</v>
      </c>
      <c r="CA269">
        <v>4</v>
      </c>
      <c r="CC269" t="s">
        <v>309</v>
      </c>
      <c r="CE269" t="s">
        <v>289</v>
      </c>
      <c r="CJ269" t="s">
        <v>819</v>
      </c>
      <c r="CK269" t="s">
        <v>335</v>
      </c>
      <c r="CM269" t="s">
        <v>298</v>
      </c>
      <c r="CO269" t="s">
        <v>312</v>
      </c>
      <c r="CT269" t="s">
        <v>294</v>
      </c>
      <c r="CU269" t="s">
        <v>313</v>
      </c>
      <c r="CV269" t="s">
        <v>314</v>
      </c>
      <c r="CW269" t="s">
        <v>315</v>
      </c>
      <c r="CX269" t="s">
        <v>316</v>
      </c>
      <c r="CZ269" t="s">
        <v>289</v>
      </c>
      <c r="DA269" t="s">
        <v>289</v>
      </c>
      <c r="DB269" t="s">
        <v>289</v>
      </c>
      <c r="DC269" t="s">
        <v>289</v>
      </c>
      <c r="DI269" t="s">
        <v>289</v>
      </c>
      <c r="DL269" t="s">
        <v>289</v>
      </c>
      <c r="DM269" t="s">
        <v>317</v>
      </c>
      <c r="DS269" t="s">
        <v>289</v>
      </c>
      <c r="DT269" t="s">
        <v>289</v>
      </c>
      <c r="DU269" t="s">
        <v>318</v>
      </c>
      <c r="DV269" t="s">
        <v>289</v>
      </c>
      <c r="DX269" t="s">
        <v>319</v>
      </c>
      <c r="EA269" t="s">
        <v>289</v>
      </c>
    </row>
    <row r="270" spans="1:131" x14ac:dyDescent="0.25">
      <c r="A270">
        <v>29772180</v>
      </c>
      <c r="B270">
        <v>4070325</v>
      </c>
      <c r="C270" t="str">
        <f>"110529502216"</f>
        <v>110529502216</v>
      </c>
      <c r="D270" t="s">
        <v>1204</v>
      </c>
      <c r="E270" t="s">
        <v>1205</v>
      </c>
      <c r="F270" t="s">
        <v>907</v>
      </c>
      <c r="G270" s="1">
        <v>40692</v>
      </c>
      <c r="I270" t="s">
        <v>353</v>
      </c>
      <c r="J270" t="s">
        <v>287</v>
      </c>
      <c r="K270" t="s">
        <v>288</v>
      </c>
      <c r="Q270" t="s">
        <v>289</v>
      </c>
      <c r="R270" t="str">
        <f>"КАЗАХСТАН, ПАВЛОДАРСКАЯ, МАЙСКИЙ РАЙОН, Коктубекский, Коктобе, 25, 1"</f>
        <v>КАЗАХСТАН, ПАВЛОДАРСКАЯ, МАЙСКИЙ РАЙОН, Коктубекский, Коктобе, 25, 1</v>
      </c>
      <c r="S270" t="str">
        <f>"ҚАЗАҚСТАН, ПАВЛОДАР, МАЙ АУДАНЫ, Коктубекский, Коктобе, 25, 1"</f>
        <v>ҚАЗАҚСТАН, ПАВЛОДАР, МАЙ АУДАНЫ, Коктубекский, Коктобе, 25, 1</v>
      </c>
      <c r="T270" t="str">
        <f>"Коктубекский, Коктобе, 25, 1"</f>
        <v>Коктубекский, Коктобе, 25, 1</v>
      </c>
      <c r="U270" t="str">
        <f>"Коктубекский, Коктобе, 25, 1"</f>
        <v>Коктубекский, Коктобе, 25, 1</v>
      </c>
      <c r="AC270" t="str">
        <f>"2025-02-12T00:00:00"</f>
        <v>2025-02-12T00:00:00</v>
      </c>
      <c r="AD270" t="str">
        <f>"5"</f>
        <v>5</v>
      </c>
      <c r="AE270" t="str">
        <f>"2024-09-01T09:43:37"</f>
        <v>2024-09-01T09:43:37</v>
      </c>
      <c r="AF270" t="str">
        <f>"2025-05-25T09:43:37"</f>
        <v>2025-05-25T09:43:37</v>
      </c>
      <c r="AG270" t="s">
        <v>747</v>
      </c>
      <c r="AH270" t="str">
        <f>"karabzhanov_s@mail.ru"</f>
        <v>karabzhanov_s@mail.ru</v>
      </c>
      <c r="AI270" t="s">
        <v>373</v>
      </c>
      <c r="AK270" t="s">
        <v>332</v>
      </c>
      <c r="AP270" t="s">
        <v>293</v>
      </c>
      <c r="AQ270" t="s">
        <v>289</v>
      </c>
      <c r="AT270" t="s">
        <v>294</v>
      </c>
      <c r="AU270" t="s">
        <v>295</v>
      </c>
      <c r="AW270" t="s">
        <v>296</v>
      </c>
      <c r="AX270">
        <v>1</v>
      </c>
      <c r="AY270" t="s">
        <v>297</v>
      </c>
      <c r="AZ270" t="s">
        <v>298</v>
      </c>
      <c r="BA270" t="s">
        <v>349</v>
      </c>
      <c r="BF270" t="s">
        <v>294</v>
      </c>
      <c r="BG270" t="s">
        <v>300</v>
      </c>
      <c r="BI270" t="s">
        <v>298</v>
      </c>
      <c r="BR270" t="s">
        <v>289</v>
      </c>
      <c r="BS270" t="s">
        <v>301</v>
      </c>
      <c r="BT270" t="s">
        <v>302</v>
      </c>
      <c r="BU270" t="s">
        <v>303</v>
      </c>
      <c r="BX270" t="s">
        <v>305</v>
      </c>
      <c r="BY270" t="s">
        <v>298</v>
      </c>
      <c r="BZ270" t="s">
        <v>924</v>
      </c>
      <c r="CA270" t="s">
        <v>1206</v>
      </c>
      <c r="CC270" t="s">
        <v>308</v>
      </c>
      <c r="CD270" t="s">
        <v>309</v>
      </c>
      <c r="CE270" t="s">
        <v>294</v>
      </c>
      <c r="CK270" t="s">
        <v>335</v>
      </c>
      <c r="CM270" t="s">
        <v>298</v>
      </c>
      <c r="CO270" t="s">
        <v>312</v>
      </c>
      <c r="CT270" t="s">
        <v>294</v>
      </c>
      <c r="CU270" t="s">
        <v>313</v>
      </c>
      <c r="CW270" t="s">
        <v>406</v>
      </c>
      <c r="CX270" t="s">
        <v>316</v>
      </c>
      <c r="CZ270" t="s">
        <v>289</v>
      </c>
      <c r="DA270" t="s">
        <v>289</v>
      </c>
      <c r="DB270" t="s">
        <v>289</v>
      </c>
      <c r="DC270" t="s">
        <v>289</v>
      </c>
      <c r="DI270" t="s">
        <v>289</v>
      </c>
      <c r="DL270" t="s">
        <v>289</v>
      </c>
      <c r="DM270" t="s">
        <v>317</v>
      </c>
      <c r="DS270" t="s">
        <v>289</v>
      </c>
      <c r="DT270" t="s">
        <v>289</v>
      </c>
      <c r="DU270" t="s">
        <v>318</v>
      </c>
      <c r="DV270" t="s">
        <v>289</v>
      </c>
      <c r="DX270" t="s">
        <v>319</v>
      </c>
      <c r="EA270" t="s">
        <v>289</v>
      </c>
    </row>
    <row r="271" spans="1:131" x14ac:dyDescent="0.25">
      <c r="A271">
        <v>29795156</v>
      </c>
      <c r="B271">
        <v>140569</v>
      </c>
      <c r="C271" t="str">
        <f>"080313650379"</f>
        <v>080313650379</v>
      </c>
      <c r="D271" t="s">
        <v>863</v>
      </c>
      <c r="E271" t="s">
        <v>1207</v>
      </c>
      <c r="F271" t="s">
        <v>1208</v>
      </c>
      <c r="G271" s="1">
        <v>39520</v>
      </c>
      <c r="I271" t="s">
        <v>286</v>
      </c>
      <c r="J271" t="s">
        <v>287</v>
      </c>
      <c r="K271" t="s">
        <v>288</v>
      </c>
      <c r="R271" t="str">
        <f>"КАЗАХСТАН, АКМОЛИНСКАЯ, ЗЕРЕНДИНСКИЙ РАЙОН, Зерендинский, Зеренда, 49, 1"</f>
        <v>КАЗАХСТАН, АКМОЛИНСКАЯ, ЗЕРЕНДИНСКИЙ РАЙОН, Зерендинский, Зеренда, 49, 1</v>
      </c>
      <c r="S271" t="str">
        <f>"ҚАЗАҚСТАН, АҚМОЛА, ЗЕРЕНДІ АУДАНЫ, Зерендинский, Зеренда, 49, 1"</f>
        <v>ҚАЗАҚСТАН, АҚМОЛА, ЗЕРЕНДІ АУДАНЫ, Зерендинский, Зеренда, 49, 1</v>
      </c>
      <c r="T271" t="str">
        <f>"Зерендинский, Зеренда, 49, 1"</f>
        <v>Зерендинский, Зеренда, 49, 1</v>
      </c>
      <c r="U271" t="str">
        <f>"Зерендинский, Зеренда, 49, 1"</f>
        <v>Зерендинский, Зеренда, 49, 1</v>
      </c>
      <c r="AC271" t="str">
        <f>"2025-02-18T00:00:00"</f>
        <v>2025-02-18T00:00:00</v>
      </c>
      <c r="AD271" t="str">
        <f>"6"</f>
        <v>6</v>
      </c>
      <c r="AE271" t="str">
        <f>"2024-09-01T11:14:16"</f>
        <v>2024-09-01T11:14:16</v>
      </c>
      <c r="AF271" t="str">
        <f>"2025-05-25T11:14:16"</f>
        <v>2025-05-25T11:14:16</v>
      </c>
      <c r="AG271" t="s">
        <v>290</v>
      </c>
      <c r="AH271" t="str">
        <f>"zerendash1@mail.ru"</f>
        <v>zerendash1@mail.ru</v>
      </c>
      <c r="AI271" t="s">
        <v>558</v>
      </c>
      <c r="AK271" t="s">
        <v>1082</v>
      </c>
      <c r="AP271" t="s">
        <v>293</v>
      </c>
      <c r="AQ271" t="s">
        <v>289</v>
      </c>
      <c r="AT271" t="s">
        <v>294</v>
      </c>
      <c r="AU271" t="s">
        <v>295</v>
      </c>
      <c r="AW271" t="s">
        <v>296</v>
      </c>
      <c r="AX271">
        <v>1</v>
      </c>
      <c r="AY271" t="s">
        <v>297</v>
      </c>
      <c r="AZ271" t="s">
        <v>298</v>
      </c>
      <c r="BA271" t="s">
        <v>299</v>
      </c>
      <c r="BF271" t="s">
        <v>294</v>
      </c>
      <c r="BG271" t="s">
        <v>300</v>
      </c>
      <c r="BI271" t="s">
        <v>298</v>
      </c>
      <c r="BR271" t="s">
        <v>289</v>
      </c>
      <c r="BS271" t="s">
        <v>301</v>
      </c>
      <c r="BT271" t="s">
        <v>302</v>
      </c>
      <c r="BU271" t="s">
        <v>303</v>
      </c>
      <c r="BX271" t="s">
        <v>324</v>
      </c>
      <c r="BY271" t="s">
        <v>298</v>
      </c>
      <c r="BZ271" t="s">
        <v>924</v>
      </c>
      <c r="CA271" t="s">
        <v>982</v>
      </c>
      <c r="CC271" t="s">
        <v>308</v>
      </c>
      <c r="CD271" t="s">
        <v>309</v>
      </c>
      <c r="CE271" t="s">
        <v>294</v>
      </c>
      <c r="CK271" t="s">
        <v>335</v>
      </c>
      <c r="CM271" t="s">
        <v>327</v>
      </c>
      <c r="CN271" t="s">
        <v>328</v>
      </c>
      <c r="CO271" t="s">
        <v>312</v>
      </c>
      <c r="CT271" t="s">
        <v>294</v>
      </c>
      <c r="CU271" t="s">
        <v>313</v>
      </c>
      <c r="CW271" t="s">
        <v>406</v>
      </c>
      <c r="CX271" t="s">
        <v>316</v>
      </c>
      <c r="CZ271" t="s">
        <v>289</v>
      </c>
      <c r="DA271" t="s">
        <v>289</v>
      </c>
      <c r="DB271" t="s">
        <v>289</v>
      </c>
      <c r="DC271" t="s">
        <v>289</v>
      </c>
      <c r="DI271" t="s">
        <v>289</v>
      </c>
      <c r="DL271" t="s">
        <v>289</v>
      </c>
      <c r="DM271" t="s">
        <v>317</v>
      </c>
      <c r="DS271" t="s">
        <v>289</v>
      </c>
      <c r="DT271" t="s">
        <v>289</v>
      </c>
      <c r="DU271" t="s">
        <v>318</v>
      </c>
      <c r="DV271" t="s">
        <v>289</v>
      </c>
      <c r="DX271" t="s">
        <v>319</v>
      </c>
      <c r="EA271" t="s">
        <v>289</v>
      </c>
    </row>
    <row r="272" spans="1:131" x14ac:dyDescent="0.25">
      <c r="A272">
        <v>29795162</v>
      </c>
      <c r="B272">
        <v>140790</v>
      </c>
      <c r="C272" t="str">
        <f>"080608552709"</f>
        <v>080608552709</v>
      </c>
      <c r="D272" t="s">
        <v>1065</v>
      </c>
      <c r="E272" t="s">
        <v>499</v>
      </c>
      <c r="F272" t="s">
        <v>1066</v>
      </c>
      <c r="G272" s="1">
        <v>39607</v>
      </c>
      <c r="I272" t="s">
        <v>353</v>
      </c>
      <c r="J272" t="s">
        <v>287</v>
      </c>
      <c r="K272" t="s">
        <v>288</v>
      </c>
      <c r="R272" t="str">
        <f>"КАЗАХСТАН, АКМОЛИНСКАЯ, ЗЕРЕНДИНСКИЙ РАЙОН, Зерендинский, Зеренда, 61"</f>
        <v>КАЗАХСТАН, АКМОЛИНСКАЯ, ЗЕРЕНДИНСКИЙ РАЙОН, Зерендинский, Зеренда, 61</v>
      </c>
      <c r="S272" t="str">
        <f>"ҚАЗАҚСТАН, АҚМОЛА, ЗЕРЕНДІ АУДАНЫ, Зерендинский, Зеренда, 61"</f>
        <v>ҚАЗАҚСТАН, АҚМОЛА, ЗЕРЕНДІ АУДАНЫ, Зерендинский, Зеренда, 61</v>
      </c>
      <c r="T272" t="str">
        <f>"Зерендинский, Зеренда, 61"</f>
        <v>Зерендинский, Зеренда, 61</v>
      </c>
      <c r="U272" t="str">
        <f>"Зерендинский, Зеренда, 61"</f>
        <v>Зерендинский, Зеренда, 61</v>
      </c>
      <c r="AC272" t="str">
        <f>"2025-02-05T00:00:00"</f>
        <v>2025-02-05T00:00:00</v>
      </c>
      <c r="AD272" t="str">
        <f>"4"</f>
        <v>4</v>
      </c>
      <c r="AE272" t="str">
        <f>"2024-09-01T11:10:04"</f>
        <v>2024-09-01T11:10:04</v>
      </c>
      <c r="AF272" t="str">
        <f>"2025-05-25T11:10:04"</f>
        <v>2025-05-25T11:10:04</v>
      </c>
      <c r="AG272" t="s">
        <v>290</v>
      </c>
      <c r="AH272" t="str">
        <f>"zerendash1@mail.ru"</f>
        <v>zerendash1@mail.ru</v>
      </c>
      <c r="AI272" t="s">
        <v>373</v>
      </c>
      <c r="AK272" t="s">
        <v>1082</v>
      </c>
      <c r="AP272" t="s">
        <v>293</v>
      </c>
      <c r="AQ272" t="s">
        <v>289</v>
      </c>
      <c r="AT272" t="s">
        <v>294</v>
      </c>
      <c r="AU272" t="s">
        <v>295</v>
      </c>
      <c r="AW272" t="s">
        <v>296</v>
      </c>
      <c r="AX272">
        <v>1</v>
      </c>
      <c r="AY272" t="s">
        <v>297</v>
      </c>
      <c r="AZ272" t="s">
        <v>298</v>
      </c>
      <c r="BA272" t="s">
        <v>299</v>
      </c>
      <c r="BF272" t="s">
        <v>294</v>
      </c>
      <c r="BG272" t="s">
        <v>300</v>
      </c>
      <c r="BI272" t="s">
        <v>298</v>
      </c>
      <c r="BR272" t="s">
        <v>289</v>
      </c>
      <c r="BS272" t="s">
        <v>301</v>
      </c>
      <c r="BT272" t="s">
        <v>302</v>
      </c>
      <c r="BU272" t="s">
        <v>303</v>
      </c>
      <c r="BX272" t="s">
        <v>305</v>
      </c>
      <c r="BY272" t="s">
        <v>298</v>
      </c>
      <c r="BZ272" t="s">
        <v>924</v>
      </c>
      <c r="CA272" t="s">
        <v>1209</v>
      </c>
      <c r="CC272" t="s">
        <v>308</v>
      </c>
      <c r="CD272" t="s">
        <v>309</v>
      </c>
      <c r="CE272" t="s">
        <v>294</v>
      </c>
      <c r="CK272" t="s">
        <v>335</v>
      </c>
      <c r="CM272" t="s">
        <v>388</v>
      </c>
      <c r="CN272" t="s">
        <v>328</v>
      </c>
      <c r="CO272" t="s">
        <v>312</v>
      </c>
      <c r="CT272" t="s">
        <v>294</v>
      </c>
      <c r="CU272" t="s">
        <v>313</v>
      </c>
      <c r="CW272" t="s">
        <v>406</v>
      </c>
      <c r="CX272" t="s">
        <v>316</v>
      </c>
      <c r="CZ272" t="s">
        <v>289</v>
      </c>
      <c r="DA272" t="s">
        <v>289</v>
      </c>
      <c r="DB272" t="s">
        <v>289</v>
      </c>
      <c r="DC272" t="s">
        <v>289</v>
      </c>
      <c r="DI272" t="s">
        <v>289</v>
      </c>
      <c r="DL272" t="s">
        <v>289</v>
      </c>
      <c r="DM272" t="s">
        <v>317</v>
      </c>
      <c r="DS272" t="s">
        <v>289</v>
      </c>
      <c r="DT272" t="s">
        <v>289</v>
      </c>
      <c r="DU272" t="s">
        <v>318</v>
      </c>
      <c r="DV272" t="s">
        <v>289</v>
      </c>
      <c r="DX272" t="s">
        <v>319</v>
      </c>
      <c r="EA272" t="s">
        <v>289</v>
      </c>
    </row>
    <row r="273" spans="1:131" x14ac:dyDescent="0.25">
      <c r="A273">
        <v>29849995</v>
      </c>
      <c r="B273">
        <v>147310</v>
      </c>
      <c r="C273" t="str">
        <f>"090508552231"</f>
        <v>090508552231</v>
      </c>
      <c r="D273" t="s">
        <v>1210</v>
      </c>
      <c r="E273" t="s">
        <v>1211</v>
      </c>
      <c r="F273" t="s">
        <v>482</v>
      </c>
      <c r="G273" s="1">
        <v>39941</v>
      </c>
      <c r="I273" t="s">
        <v>353</v>
      </c>
      <c r="J273" t="s">
        <v>287</v>
      </c>
      <c r="K273" t="s">
        <v>288</v>
      </c>
      <c r="Q273" t="s">
        <v>289</v>
      </c>
      <c r="R273" t="str">
        <f>"КАЗАХСТАН, АКМОЛИНСКАЯ, ЗЕРЕНДИНСКИЙ РАЙОН, Зерендинский, Зеренда, 11"</f>
        <v>КАЗАХСТАН, АКМОЛИНСКАЯ, ЗЕРЕНДИНСКИЙ РАЙОН, Зерендинский, Зеренда, 11</v>
      </c>
      <c r="S273" t="str">
        <f>"ҚАЗАҚСТАН, АҚМОЛА, ЗЕРЕНДІ АУДАНЫ, Зерендинский, Зеренда, 11"</f>
        <v>ҚАЗАҚСТАН, АҚМОЛА, ЗЕРЕНДІ АУДАНЫ, Зерендинский, Зеренда, 11</v>
      </c>
      <c r="T273" t="str">
        <f>"КАЗАХСТАН, АКМОЛИНСКАЯ, КОКШЕТАУ, Зерендинский, Зеренда, 11"</f>
        <v>КАЗАХСТАН, АКМОЛИНСКАЯ, КОКШЕТАУ, Зерендинский, Зеренда, 11</v>
      </c>
      <c r="U273" t="str">
        <f>"ҚАЗАҚСТАН, АҚМОЛА, КӨКШЕТАУ, Зерендинский, Зеренда, 11"</f>
        <v>ҚАЗАҚСТАН, АҚМОЛА, КӨКШЕТАУ, Зерендинский, Зеренда, 11</v>
      </c>
      <c r="AC273" t="str">
        <f>"2025-03-14T00:00:00"</f>
        <v>2025-03-14T00:00:00</v>
      </c>
      <c r="AD273" t="str">
        <f>"7"</f>
        <v>7</v>
      </c>
      <c r="AE273" t="str">
        <f>"2024-09-01T08:59:59"</f>
        <v>2024-09-01T08:59:59</v>
      </c>
      <c r="AF273" t="str">
        <f>"2025-05-25T08:59:59"</f>
        <v>2025-05-25T08:59:59</v>
      </c>
      <c r="AG273" t="s">
        <v>290</v>
      </c>
      <c r="AH273" t="str">
        <f>"sagindik@mail.ru"</f>
        <v>sagindik@mail.ru</v>
      </c>
      <c r="AI273" t="s">
        <v>476</v>
      </c>
      <c r="AK273" t="s">
        <v>1082</v>
      </c>
      <c r="AP273" t="s">
        <v>293</v>
      </c>
      <c r="AQ273" t="s">
        <v>289</v>
      </c>
      <c r="AT273" t="s">
        <v>294</v>
      </c>
      <c r="AU273" t="s">
        <v>295</v>
      </c>
      <c r="AW273" t="s">
        <v>296</v>
      </c>
      <c r="AX273">
        <v>1</v>
      </c>
      <c r="AY273" t="s">
        <v>297</v>
      </c>
      <c r="AZ273" t="s">
        <v>298</v>
      </c>
      <c r="BA273" t="s">
        <v>349</v>
      </c>
      <c r="BF273" t="s">
        <v>294</v>
      </c>
      <c r="BG273" t="s">
        <v>300</v>
      </c>
      <c r="BI273" t="s">
        <v>298</v>
      </c>
      <c r="BR273" t="s">
        <v>289</v>
      </c>
      <c r="BS273" t="s">
        <v>301</v>
      </c>
      <c r="BT273" t="s">
        <v>302</v>
      </c>
      <c r="BU273" t="s">
        <v>303</v>
      </c>
      <c r="BX273" t="s">
        <v>305</v>
      </c>
      <c r="BY273" t="s">
        <v>298</v>
      </c>
      <c r="BZ273" t="s">
        <v>1212</v>
      </c>
      <c r="CA273" t="s">
        <v>1213</v>
      </c>
      <c r="CC273" t="s">
        <v>308</v>
      </c>
      <c r="CD273" t="s">
        <v>309</v>
      </c>
      <c r="CE273" t="s">
        <v>294</v>
      </c>
      <c r="CK273" t="s">
        <v>335</v>
      </c>
      <c r="CM273" t="s">
        <v>327</v>
      </c>
      <c r="CN273" t="s">
        <v>328</v>
      </c>
      <c r="CO273" t="s">
        <v>312</v>
      </c>
      <c r="CT273" t="s">
        <v>294</v>
      </c>
      <c r="CU273" t="s">
        <v>313</v>
      </c>
      <c r="CW273" t="s">
        <v>406</v>
      </c>
      <c r="CX273" t="s">
        <v>316</v>
      </c>
      <c r="CZ273" t="s">
        <v>289</v>
      </c>
      <c r="DA273" t="s">
        <v>289</v>
      </c>
      <c r="DB273" t="s">
        <v>289</v>
      </c>
      <c r="DC273" t="s">
        <v>289</v>
      </c>
      <c r="DI273" t="s">
        <v>289</v>
      </c>
      <c r="DL273" t="s">
        <v>289</v>
      </c>
      <c r="DM273" t="s">
        <v>317</v>
      </c>
      <c r="DS273" t="s">
        <v>289</v>
      </c>
      <c r="DT273" t="s">
        <v>289</v>
      </c>
      <c r="DU273" t="s">
        <v>318</v>
      </c>
      <c r="DV273" t="s">
        <v>289</v>
      </c>
      <c r="DX273" t="s">
        <v>319</v>
      </c>
      <c r="EA273" t="s">
        <v>289</v>
      </c>
    </row>
    <row r="274" spans="1:131" x14ac:dyDescent="0.25">
      <c r="A274">
        <v>29850722</v>
      </c>
      <c r="B274">
        <v>146816</v>
      </c>
      <c r="C274" t="str">
        <f>"080717553165"</f>
        <v>080717553165</v>
      </c>
      <c r="D274" t="s">
        <v>1214</v>
      </c>
      <c r="E274" t="s">
        <v>1215</v>
      </c>
      <c r="F274" t="s">
        <v>1216</v>
      </c>
      <c r="G274" s="1">
        <v>39646</v>
      </c>
      <c r="I274" t="s">
        <v>353</v>
      </c>
      <c r="J274" t="s">
        <v>287</v>
      </c>
      <c r="K274" t="s">
        <v>288</v>
      </c>
      <c r="Q274" t="s">
        <v>289</v>
      </c>
      <c r="R274" t="str">
        <f>"КАЗАХСТАН, АКМОЛИНСКАЯ, ЗЕРЕНДИНСКИЙ РАЙОН, Зерендинский, Зеренда, 14, 10"</f>
        <v>КАЗАХСТАН, АКМОЛИНСКАЯ, ЗЕРЕНДИНСКИЙ РАЙОН, Зерендинский, Зеренда, 14, 10</v>
      </c>
      <c r="S274" t="str">
        <f>"ҚАЗАҚСТАН, АҚМОЛА, ЗЕРЕНДІ АУДАНЫ, Зерендинский, Зеренда, 14, 10"</f>
        <v>ҚАЗАҚСТАН, АҚМОЛА, ЗЕРЕНДІ АУДАНЫ, Зерендинский, Зеренда, 14, 10</v>
      </c>
      <c r="T274" t="str">
        <f>"КАЗАХСТАН, АКМОЛИНСКАЯ, КОКШЕТАУ, Зерендинский, Зеренда, 14, 10"</f>
        <v>КАЗАХСТАН, АКМОЛИНСКАЯ, КОКШЕТАУ, Зерендинский, Зеренда, 14, 10</v>
      </c>
      <c r="U274" t="str">
        <f>"ҚАЗАҚСТАН, АҚМОЛА, КӨКШЕТАУ, Зерендинский, Зеренда, 14, 10"</f>
        <v>ҚАЗАҚСТАН, АҚМОЛА, КӨКШЕТАУ, Зерендинский, Зеренда, 14, 10</v>
      </c>
      <c r="AC274" t="str">
        <f>"2025-03-17T00:00:00"</f>
        <v>2025-03-17T00:00:00</v>
      </c>
      <c r="AD274" t="str">
        <f>"8"</f>
        <v>8</v>
      </c>
      <c r="AG274" t="s">
        <v>290</v>
      </c>
      <c r="AH274" t="str">
        <f>"kaliga9@mail.ru"</f>
        <v>kaliga9@mail.ru</v>
      </c>
      <c r="AI274" t="s">
        <v>291</v>
      </c>
      <c r="AK274" t="s">
        <v>1082</v>
      </c>
      <c r="AP274" t="s">
        <v>293</v>
      </c>
      <c r="AQ274" t="s">
        <v>289</v>
      </c>
      <c r="AT274" t="s">
        <v>294</v>
      </c>
      <c r="AU274" t="s">
        <v>295</v>
      </c>
      <c r="AW274" t="s">
        <v>296</v>
      </c>
      <c r="AX274">
        <v>1</v>
      </c>
      <c r="AY274" t="s">
        <v>297</v>
      </c>
      <c r="AZ274" t="s">
        <v>298</v>
      </c>
      <c r="BA274" t="s">
        <v>349</v>
      </c>
      <c r="BF274" t="s">
        <v>294</v>
      </c>
      <c r="BG274" t="s">
        <v>300</v>
      </c>
      <c r="BI274" t="s">
        <v>298</v>
      </c>
      <c r="BR274" t="s">
        <v>289</v>
      </c>
      <c r="BS274" t="s">
        <v>301</v>
      </c>
      <c r="BT274" t="s">
        <v>302</v>
      </c>
      <c r="BU274" t="s">
        <v>303</v>
      </c>
      <c r="BX274" t="s">
        <v>305</v>
      </c>
      <c r="BY274" t="s">
        <v>298</v>
      </c>
      <c r="BZ274" t="s">
        <v>924</v>
      </c>
      <c r="CA274" t="s">
        <v>454</v>
      </c>
      <c r="CC274" t="s">
        <v>308</v>
      </c>
      <c r="CD274" t="s">
        <v>309</v>
      </c>
      <c r="CE274" t="s">
        <v>294</v>
      </c>
      <c r="CK274" t="s">
        <v>335</v>
      </c>
      <c r="CM274" t="s">
        <v>327</v>
      </c>
      <c r="CN274" t="s">
        <v>328</v>
      </c>
      <c r="CO274" t="s">
        <v>312</v>
      </c>
      <c r="CT274" t="s">
        <v>294</v>
      </c>
      <c r="CU274" t="s">
        <v>313</v>
      </c>
      <c r="CW274" t="s">
        <v>406</v>
      </c>
      <c r="CX274" t="s">
        <v>316</v>
      </c>
      <c r="CZ274" t="s">
        <v>289</v>
      </c>
      <c r="DA274" t="s">
        <v>289</v>
      </c>
      <c r="DB274" t="s">
        <v>289</v>
      </c>
      <c r="DC274" t="s">
        <v>289</v>
      </c>
      <c r="DI274" t="s">
        <v>289</v>
      </c>
      <c r="DL274" t="s">
        <v>289</v>
      </c>
      <c r="DM274" t="s">
        <v>317</v>
      </c>
      <c r="DS274" t="s">
        <v>289</v>
      </c>
      <c r="DT274" t="s">
        <v>289</v>
      </c>
      <c r="DU274" t="s">
        <v>318</v>
      </c>
      <c r="DV274" t="s">
        <v>289</v>
      </c>
      <c r="DX274" t="s">
        <v>319</v>
      </c>
      <c r="EA274" t="s">
        <v>289</v>
      </c>
    </row>
  </sheetData>
  <autoFilter ref="A1:JW27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16"/>
  <sheetViews>
    <sheetView workbookViewId="0">
      <selection activeCell="D21" sqref="D21"/>
    </sheetView>
  </sheetViews>
  <sheetFormatPr defaultRowHeight="15" x14ac:dyDescent="0.25"/>
  <sheetData>
    <row r="1" spans="1:28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  <c r="FW1" t="s">
        <v>178</v>
      </c>
      <c r="FX1" t="s">
        <v>179</v>
      </c>
      <c r="FY1" t="s">
        <v>180</v>
      </c>
      <c r="FZ1" t="s">
        <v>181</v>
      </c>
      <c r="GA1" t="s">
        <v>182</v>
      </c>
      <c r="GB1" t="s">
        <v>183</v>
      </c>
      <c r="GC1" t="s">
        <v>184</v>
      </c>
      <c r="GD1" t="s">
        <v>185</v>
      </c>
      <c r="GE1" t="s">
        <v>186</v>
      </c>
      <c r="GF1" t="s">
        <v>187</v>
      </c>
      <c r="GG1" t="s">
        <v>188</v>
      </c>
      <c r="GH1" t="s">
        <v>189</v>
      </c>
      <c r="GI1" t="s">
        <v>190</v>
      </c>
      <c r="GJ1" t="s">
        <v>191</v>
      </c>
      <c r="GK1" t="s">
        <v>192</v>
      </c>
      <c r="GL1" t="s">
        <v>193</v>
      </c>
      <c r="GM1" t="s">
        <v>194</v>
      </c>
      <c r="GN1" t="s">
        <v>195</v>
      </c>
      <c r="GO1" t="s">
        <v>196</v>
      </c>
      <c r="GP1" t="s">
        <v>197</v>
      </c>
      <c r="GQ1" t="s">
        <v>198</v>
      </c>
      <c r="GR1" t="s">
        <v>199</v>
      </c>
      <c r="GS1" t="s">
        <v>200</v>
      </c>
      <c r="GT1" t="s">
        <v>201</v>
      </c>
      <c r="GU1" t="s">
        <v>202</v>
      </c>
      <c r="GV1" t="s">
        <v>203</v>
      </c>
      <c r="GW1" t="s">
        <v>204</v>
      </c>
      <c r="GX1" t="s">
        <v>205</v>
      </c>
      <c r="GY1" t="s">
        <v>206</v>
      </c>
      <c r="GZ1" t="s">
        <v>207</v>
      </c>
      <c r="HA1" t="s">
        <v>208</v>
      </c>
      <c r="HB1" t="s">
        <v>209</v>
      </c>
      <c r="HC1" t="s">
        <v>210</v>
      </c>
      <c r="HD1" t="s">
        <v>211</v>
      </c>
      <c r="HE1" t="s">
        <v>212</v>
      </c>
      <c r="HF1" t="s">
        <v>213</v>
      </c>
      <c r="HG1" t="s">
        <v>214</v>
      </c>
      <c r="HH1" t="s">
        <v>215</v>
      </c>
      <c r="HI1" t="s">
        <v>216</v>
      </c>
      <c r="HJ1" t="s">
        <v>217</v>
      </c>
      <c r="HK1" t="s">
        <v>218</v>
      </c>
      <c r="HL1" t="s">
        <v>219</v>
      </c>
      <c r="HM1" t="s">
        <v>220</v>
      </c>
      <c r="HN1" t="s">
        <v>221</v>
      </c>
      <c r="HO1" t="s">
        <v>222</v>
      </c>
      <c r="HP1" t="s">
        <v>223</v>
      </c>
      <c r="HQ1" t="s">
        <v>224</v>
      </c>
      <c r="HR1" t="s">
        <v>225</v>
      </c>
      <c r="HS1" t="s">
        <v>226</v>
      </c>
      <c r="HT1" t="s">
        <v>227</v>
      </c>
      <c r="HU1" t="s">
        <v>228</v>
      </c>
      <c r="HV1" t="s">
        <v>229</v>
      </c>
      <c r="HW1" t="s">
        <v>230</v>
      </c>
      <c r="HX1" t="s">
        <v>231</v>
      </c>
      <c r="HY1" t="s">
        <v>232</v>
      </c>
      <c r="HZ1" t="s">
        <v>233</v>
      </c>
      <c r="IA1" t="s">
        <v>234</v>
      </c>
      <c r="IB1" t="s">
        <v>235</v>
      </c>
      <c r="IC1" t="s">
        <v>236</v>
      </c>
      <c r="ID1" t="s">
        <v>237</v>
      </c>
      <c r="IE1" t="s">
        <v>238</v>
      </c>
      <c r="IF1" t="s">
        <v>239</v>
      </c>
      <c r="IG1" t="s">
        <v>240</v>
      </c>
      <c r="IH1" t="s">
        <v>241</v>
      </c>
      <c r="II1" t="s">
        <v>242</v>
      </c>
      <c r="IJ1" t="s">
        <v>243</v>
      </c>
      <c r="IK1" t="s">
        <v>244</v>
      </c>
      <c r="IL1" t="s">
        <v>245</v>
      </c>
      <c r="IM1" t="s">
        <v>246</v>
      </c>
      <c r="IN1" t="s">
        <v>247</v>
      </c>
      <c r="IO1" t="s">
        <v>248</v>
      </c>
      <c r="IP1" t="s">
        <v>249</v>
      </c>
      <c r="IQ1" t="s">
        <v>250</v>
      </c>
      <c r="IR1" t="s">
        <v>251</v>
      </c>
      <c r="IS1" t="s">
        <v>252</v>
      </c>
      <c r="IT1" t="s">
        <v>253</v>
      </c>
      <c r="IU1" t="s">
        <v>254</v>
      </c>
      <c r="IV1" t="s">
        <v>255</v>
      </c>
      <c r="IW1" t="s">
        <v>256</v>
      </c>
      <c r="IX1" t="s">
        <v>257</v>
      </c>
      <c r="IY1" t="s">
        <v>258</v>
      </c>
      <c r="IZ1" t="s">
        <v>259</v>
      </c>
      <c r="JA1" t="s">
        <v>260</v>
      </c>
      <c r="JB1" t="s">
        <v>261</v>
      </c>
      <c r="JC1" t="s">
        <v>262</v>
      </c>
      <c r="JD1" t="s">
        <v>263</v>
      </c>
      <c r="JE1" t="s">
        <v>264</v>
      </c>
      <c r="JF1" t="s">
        <v>265</v>
      </c>
      <c r="JG1" t="s">
        <v>266</v>
      </c>
      <c r="JH1" t="s">
        <v>267</v>
      </c>
      <c r="JI1" t="s">
        <v>268</v>
      </c>
      <c r="JJ1" t="s">
        <v>269</v>
      </c>
      <c r="JK1" t="s">
        <v>270</v>
      </c>
      <c r="JL1" t="s">
        <v>271</v>
      </c>
      <c r="JM1" t="s">
        <v>272</v>
      </c>
      <c r="JN1" t="s">
        <v>273</v>
      </c>
      <c r="JO1" t="s">
        <v>274</v>
      </c>
      <c r="JP1" t="s">
        <v>275</v>
      </c>
      <c r="JQ1" t="s">
        <v>276</v>
      </c>
      <c r="JR1" t="s">
        <v>277</v>
      </c>
      <c r="JS1" t="s">
        <v>278</v>
      </c>
      <c r="JT1" t="s">
        <v>279</v>
      </c>
      <c r="JU1" t="s">
        <v>280</v>
      </c>
      <c r="JV1" t="s">
        <v>281</v>
      </c>
      <c r="JW1" t="s">
        <v>282</v>
      </c>
    </row>
    <row r="2" spans="1:283" x14ac:dyDescent="0.25">
      <c r="A2">
        <v>28662212</v>
      </c>
      <c r="B2">
        <v>12024222</v>
      </c>
      <c r="C2" t="s">
        <v>1217</v>
      </c>
      <c r="D2" t="s">
        <v>440</v>
      </c>
      <c r="E2" t="s">
        <v>640</v>
      </c>
      <c r="F2" t="s">
        <v>1153</v>
      </c>
      <c r="G2" s="1">
        <v>43414</v>
      </c>
      <c r="I2" t="s">
        <v>286</v>
      </c>
      <c r="J2" t="s">
        <v>287</v>
      </c>
      <c r="K2" t="s">
        <v>288</v>
      </c>
      <c r="Q2" t="s">
        <v>289</v>
      </c>
      <c r="R2" t="s">
        <v>1218</v>
      </c>
      <c r="S2" t="s">
        <v>1219</v>
      </c>
      <c r="T2" t="s">
        <v>1220</v>
      </c>
      <c r="U2" t="s">
        <v>1220</v>
      </c>
      <c r="AC2" t="s">
        <v>1221</v>
      </c>
      <c r="AD2" t="s">
        <v>1222</v>
      </c>
      <c r="AE2" t="s">
        <v>1223</v>
      </c>
      <c r="AF2" t="s">
        <v>1224</v>
      </c>
      <c r="AG2" t="s">
        <v>290</v>
      </c>
      <c r="AI2" t="s">
        <v>373</v>
      </c>
      <c r="AK2" t="s">
        <v>1154</v>
      </c>
      <c r="AL2" t="s">
        <v>1155</v>
      </c>
      <c r="AM2" t="s">
        <v>1225</v>
      </c>
      <c r="AN2" t="s">
        <v>1226</v>
      </c>
      <c r="AO2" t="s">
        <v>1227</v>
      </c>
      <c r="AP2" t="s">
        <v>293</v>
      </c>
      <c r="AT2" t="s">
        <v>294</v>
      </c>
      <c r="AU2" t="s">
        <v>295</v>
      </c>
      <c r="AW2" t="s">
        <v>296</v>
      </c>
      <c r="AX2">
        <v>1</v>
      </c>
      <c r="AY2" t="s">
        <v>297</v>
      </c>
      <c r="AZ2" t="s">
        <v>298</v>
      </c>
      <c r="BA2" t="s">
        <v>796</v>
      </c>
      <c r="BF2" t="s">
        <v>289</v>
      </c>
      <c r="BI2" t="s">
        <v>298</v>
      </c>
      <c r="BR2" t="s">
        <v>289</v>
      </c>
      <c r="BS2" t="s">
        <v>301</v>
      </c>
      <c r="BT2" t="s">
        <v>302</v>
      </c>
      <c r="BU2" t="s">
        <v>303</v>
      </c>
      <c r="BX2" t="s">
        <v>867</v>
      </c>
      <c r="BY2" t="s">
        <v>298</v>
      </c>
      <c r="CC2" t="s">
        <v>309</v>
      </c>
      <c r="CK2" t="s">
        <v>335</v>
      </c>
      <c r="CM2" t="s">
        <v>298</v>
      </c>
      <c r="CO2" t="s">
        <v>312</v>
      </c>
      <c r="CT2" t="s">
        <v>289</v>
      </c>
      <c r="CX2" t="s">
        <v>316</v>
      </c>
      <c r="CZ2" t="s">
        <v>289</v>
      </c>
      <c r="DA2" t="s">
        <v>289</v>
      </c>
      <c r="DB2" t="s">
        <v>289</v>
      </c>
      <c r="DC2" t="s">
        <v>289</v>
      </c>
      <c r="DI2" t="s">
        <v>289</v>
      </c>
      <c r="DL2" t="s">
        <v>289</v>
      </c>
      <c r="DM2" t="s">
        <v>317</v>
      </c>
      <c r="DS2" t="s">
        <v>289</v>
      </c>
      <c r="DT2" t="s">
        <v>289</v>
      </c>
      <c r="DU2" t="s">
        <v>318</v>
      </c>
      <c r="DV2" t="s">
        <v>289</v>
      </c>
      <c r="DX2" t="s">
        <v>319</v>
      </c>
      <c r="EA2" t="s">
        <v>294</v>
      </c>
    </row>
    <row r="3" spans="1:283" x14ac:dyDescent="0.25">
      <c r="A3">
        <v>28663097</v>
      </c>
      <c r="B3">
        <v>14012975</v>
      </c>
      <c r="C3" t="s">
        <v>1228</v>
      </c>
      <c r="D3" t="s">
        <v>925</v>
      </c>
      <c r="E3" t="s">
        <v>1156</v>
      </c>
      <c r="F3" t="s">
        <v>926</v>
      </c>
      <c r="G3" s="1">
        <v>43490</v>
      </c>
      <c r="I3" t="s">
        <v>353</v>
      </c>
      <c r="J3" t="s">
        <v>287</v>
      </c>
      <c r="K3" t="s">
        <v>288</v>
      </c>
      <c r="Q3" t="s">
        <v>289</v>
      </c>
      <c r="R3" t="s">
        <v>1229</v>
      </c>
      <c r="S3" t="s">
        <v>1230</v>
      </c>
      <c r="T3" t="s">
        <v>1231</v>
      </c>
      <c r="U3" t="s">
        <v>1231</v>
      </c>
      <c r="AC3" t="s">
        <v>1221</v>
      </c>
      <c r="AD3" t="s">
        <v>1222</v>
      </c>
      <c r="AE3" t="s">
        <v>1232</v>
      </c>
      <c r="AF3" t="s">
        <v>1233</v>
      </c>
      <c r="AG3" t="s">
        <v>290</v>
      </c>
      <c r="AI3" t="s">
        <v>476</v>
      </c>
      <c r="AK3" t="s">
        <v>1154</v>
      </c>
      <c r="AL3" t="s">
        <v>1155</v>
      </c>
      <c r="AM3" t="s">
        <v>1225</v>
      </c>
      <c r="AN3" t="s">
        <v>1226</v>
      </c>
      <c r="AO3" t="s">
        <v>1227</v>
      </c>
      <c r="AP3" t="s">
        <v>293</v>
      </c>
      <c r="AT3" t="s">
        <v>294</v>
      </c>
      <c r="AU3" t="s">
        <v>295</v>
      </c>
      <c r="AW3" t="s">
        <v>296</v>
      </c>
      <c r="AX3">
        <v>1</v>
      </c>
      <c r="AY3" t="s">
        <v>297</v>
      </c>
      <c r="AZ3" t="s">
        <v>298</v>
      </c>
      <c r="BA3" t="s">
        <v>796</v>
      </c>
      <c r="BF3" t="s">
        <v>289</v>
      </c>
      <c r="BI3" t="s">
        <v>298</v>
      </c>
      <c r="BR3" t="s">
        <v>289</v>
      </c>
      <c r="BS3" t="s">
        <v>301</v>
      </c>
      <c r="BT3" t="s">
        <v>302</v>
      </c>
      <c r="BU3" t="s">
        <v>303</v>
      </c>
      <c r="BX3" t="s">
        <v>867</v>
      </c>
      <c r="BY3" t="s">
        <v>298</v>
      </c>
      <c r="CC3" t="s">
        <v>309</v>
      </c>
      <c r="CK3" t="s">
        <v>335</v>
      </c>
      <c r="CM3" t="s">
        <v>298</v>
      </c>
      <c r="CO3" t="s">
        <v>312</v>
      </c>
      <c r="CT3" t="s">
        <v>289</v>
      </c>
      <c r="CX3" t="s">
        <v>316</v>
      </c>
      <c r="CZ3" t="s">
        <v>289</v>
      </c>
      <c r="DA3" t="s">
        <v>289</v>
      </c>
      <c r="DB3" t="s">
        <v>289</v>
      </c>
      <c r="DC3" t="s">
        <v>289</v>
      </c>
      <c r="DI3" t="s">
        <v>289</v>
      </c>
      <c r="DL3" t="s">
        <v>289</v>
      </c>
      <c r="DM3" t="s">
        <v>317</v>
      </c>
      <c r="DS3" t="s">
        <v>289</v>
      </c>
      <c r="DT3" t="s">
        <v>289</v>
      </c>
      <c r="DU3" t="s">
        <v>318</v>
      </c>
      <c r="DV3" t="s">
        <v>289</v>
      </c>
      <c r="DX3" t="s">
        <v>319</v>
      </c>
      <c r="EA3" t="s">
        <v>294</v>
      </c>
    </row>
    <row r="4" spans="1:283" x14ac:dyDescent="0.25">
      <c r="A4">
        <v>28827068</v>
      </c>
      <c r="B4">
        <v>14034756</v>
      </c>
      <c r="C4" t="s">
        <v>1234</v>
      </c>
      <c r="D4" t="s">
        <v>523</v>
      </c>
      <c r="E4" t="s">
        <v>396</v>
      </c>
      <c r="F4" t="s">
        <v>525</v>
      </c>
      <c r="G4" s="1">
        <v>43395</v>
      </c>
      <c r="I4" t="s">
        <v>353</v>
      </c>
      <c r="J4" t="s">
        <v>287</v>
      </c>
      <c r="K4" t="s">
        <v>288</v>
      </c>
      <c r="Q4" t="s">
        <v>289</v>
      </c>
      <c r="R4" t="s">
        <v>1235</v>
      </c>
      <c r="S4" t="s">
        <v>1236</v>
      </c>
      <c r="T4" t="s">
        <v>1237</v>
      </c>
      <c r="U4" t="s">
        <v>1237</v>
      </c>
      <c r="AC4" t="s">
        <v>1221</v>
      </c>
      <c r="AD4" t="s">
        <v>1222</v>
      </c>
      <c r="AE4" t="s">
        <v>1238</v>
      </c>
      <c r="AF4" t="s">
        <v>1239</v>
      </c>
      <c r="AG4" t="s">
        <v>290</v>
      </c>
      <c r="AI4" t="s">
        <v>476</v>
      </c>
      <c r="AK4" t="s">
        <v>1154</v>
      </c>
      <c r="AL4" t="s">
        <v>1155</v>
      </c>
      <c r="AM4" t="s">
        <v>1225</v>
      </c>
      <c r="AN4" t="s">
        <v>1226</v>
      </c>
      <c r="AO4" t="s">
        <v>1227</v>
      </c>
      <c r="AP4" t="s">
        <v>293</v>
      </c>
      <c r="AT4" t="s">
        <v>294</v>
      </c>
      <c r="AU4" t="s">
        <v>295</v>
      </c>
      <c r="AW4" t="s">
        <v>296</v>
      </c>
      <c r="AX4">
        <v>1</v>
      </c>
      <c r="AY4" t="s">
        <v>297</v>
      </c>
      <c r="AZ4" t="s">
        <v>298</v>
      </c>
      <c r="BA4" t="s">
        <v>796</v>
      </c>
      <c r="BF4" t="s">
        <v>289</v>
      </c>
      <c r="BI4" t="s">
        <v>298</v>
      </c>
      <c r="BR4" t="s">
        <v>289</v>
      </c>
      <c r="BS4" t="s">
        <v>301</v>
      </c>
      <c r="BT4" t="s">
        <v>302</v>
      </c>
      <c r="BU4" t="s">
        <v>303</v>
      </c>
      <c r="BX4" t="s">
        <v>867</v>
      </c>
      <c r="BY4" t="s">
        <v>298</v>
      </c>
      <c r="CC4" t="s">
        <v>309</v>
      </c>
      <c r="CK4" t="s">
        <v>335</v>
      </c>
      <c r="CM4" t="s">
        <v>298</v>
      </c>
      <c r="CO4" t="s">
        <v>312</v>
      </c>
      <c r="CT4" t="s">
        <v>289</v>
      </c>
      <c r="CX4" t="s">
        <v>316</v>
      </c>
      <c r="CZ4" t="s">
        <v>289</v>
      </c>
      <c r="DA4" t="s">
        <v>289</v>
      </c>
      <c r="DB4" t="s">
        <v>289</v>
      </c>
      <c r="DC4" t="s">
        <v>289</v>
      </c>
      <c r="DI4" t="s">
        <v>289</v>
      </c>
      <c r="DL4" t="s">
        <v>289</v>
      </c>
      <c r="DM4" t="s">
        <v>317</v>
      </c>
      <c r="DS4" t="s">
        <v>289</v>
      </c>
      <c r="DT4" t="s">
        <v>289</v>
      </c>
      <c r="DU4" t="s">
        <v>318</v>
      </c>
      <c r="DV4" t="s">
        <v>289</v>
      </c>
      <c r="DX4" t="s">
        <v>319</v>
      </c>
      <c r="EA4" t="s">
        <v>294</v>
      </c>
    </row>
    <row r="5" spans="1:283" x14ac:dyDescent="0.25">
      <c r="A5">
        <v>28830606</v>
      </c>
      <c r="B5">
        <v>9930037</v>
      </c>
      <c r="C5" t="s">
        <v>1240</v>
      </c>
      <c r="D5" t="s">
        <v>1166</v>
      </c>
      <c r="E5" t="s">
        <v>668</v>
      </c>
      <c r="F5" t="s">
        <v>685</v>
      </c>
      <c r="G5" s="1">
        <v>43363</v>
      </c>
      <c r="I5" t="s">
        <v>286</v>
      </c>
      <c r="J5" t="s">
        <v>287</v>
      </c>
      <c r="K5" t="s">
        <v>288</v>
      </c>
      <c r="Q5" t="s">
        <v>289</v>
      </c>
      <c r="R5" t="s">
        <v>1241</v>
      </c>
      <c r="S5" t="s">
        <v>1242</v>
      </c>
      <c r="T5" t="s">
        <v>1243</v>
      </c>
      <c r="U5" t="s">
        <v>1243</v>
      </c>
      <c r="AC5" t="s">
        <v>1221</v>
      </c>
      <c r="AD5" t="s">
        <v>1222</v>
      </c>
      <c r="AE5" t="s">
        <v>1244</v>
      </c>
      <c r="AF5" t="s">
        <v>1245</v>
      </c>
      <c r="AG5" t="s">
        <v>290</v>
      </c>
      <c r="AI5" t="s">
        <v>291</v>
      </c>
      <c r="AK5" t="s">
        <v>1154</v>
      </c>
      <c r="AL5" t="s">
        <v>1155</v>
      </c>
      <c r="AM5" t="s">
        <v>1225</v>
      </c>
      <c r="AN5" t="s">
        <v>1226</v>
      </c>
      <c r="AO5" t="s">
        <v>1246</v>
      </c>
      <c r="AP5" t="s">
        <v>293</v>
      </c>
      <c r="AT5" t="s">
        <v>294</v>
      </c>
      <c r="AU5" t="s">
        <v>295</v>
      </c>
      <c r="AW5" t="s">
        <v>296</v>
      </c>
      <c r="AX5">
        <v>1</v>
      </c>
      <c r="AY5" t="s">
        <v>297</v>
      </c>
      <c r="AZ5" t="s">
        <v>298</v>
      </c>
      <c r="BA5" t="s">
        <v>796</v>
      </c>
      <c r="BF5" t="s">
        <v>289</v>
      </c>
      <c r="BI5" t="s">
        <v>298</v>
      </c>
      <c r="BR5" t="s">
        <v>289</v>
      </c>
      <c r="BS5" t="s">
        <v>301</v>
      </c>
      <c r="BT5" t="s">
        <v>302</v>
      </c>
      <c r="BU5" t="s">
        <v>303</v>
      </c>
      <c r="BX5" t="s">
        <v>867</v>
      </c>
      <c r="BY5" t="s">
        <v>298</v>
      </c>
      <c r="CC5" t="s">
        <v>309</v>
      </c>
      <c r="CK5" t="s">
        <v>335</v>
      </c>
      <c r="CM5" t="s">
        <v>298</v>
      </c>
      <c r="CO5" t="s">
        <v>312</v>
      </c>
      <c r="CT5" t="s">
        <v>289</v>
      </c>
      <c r="CX5" t="s">
        <v>316</v>
      </c>
      <c r="CZ5" t="s">
        <v>289</v>
      </c>
      <c r="DA5" t="s">
        <v>289</v>
      </c>
      <c r="DB5" t="s">
        <v>289</v>
      </c>
      <c r="DC5" t="s">
        <v>289</v>
      </c>
      <c r="DI5" t="s">
        <v>289</v>
      </c>
      <c r="DL5" t="s">
        <v>289</v>
      </c>
      <c r="DM5" t="s">
        <v>317</v>
      </c>
      <c r="DS5" t="s">
        <v>289</v>
      </c>
      <c r="DT5" t="s">
        <v>289</v>
      </c>
      <c r="DU5" t="s">
        <v>318</v>
      </c>
      <c r="DV5" t="s">
        <v>289</v>
      </c>
      <c r="DX5" t="s">
        <v>319</v>
      </c>
      <c r="EA5" t="s">
        <v>294</v>
      </c>
    </row>
    <row r="6" spans="1:283" x14ac:dyDescent="0.25">
      <c r="A6">
        <v>28830813</v>
      </c>
      <c r="B6">
        <v>11909355</v>
      </c>
      <c r="C6" t="s">
        <v>1247</v>
      </c>
      <c r="D6" t="s">
        <v>893</v>
      </c>
      <c r="E6" t="s">
        <v>1167</v>
      </c>
      <c r="G6" s="1">
        <v>43286</v>
      </c>
      <c r="I6" t="s">
        <v>353</v>
      </c>
      <c r="J6" t="s">
        <v>287</v>
      </c>
      <c r="K6" t="s">
        <v>288</v>
      </c>
      <c r="Q6" t="s">
        <v>289</v>
      </c>
      <c r="R6" t="s">
        <v>1248</v>
      </c>
      <c r="S6" t="s">
        <v>1249</v>
      </c>
      <c r="T6" t="s">
        <v>1250</v>
      </c>
      <c r="U6" t="s">
        <v>1250</v>
      </c>
      <c r="AC6" t="s">
        <v>1221</v>
      </c>
      <c r="AD6" t="s">
        <v>1222</v>
      </c>
      <c r="AE6" t="s">
        <v>1251</v>
      </c>
      <c r="AF6" t="s">
        <v>1252</v>
      </c>
      <c r="AG6" t="s">
        <v>290</v>
      </c>
      <c r="AI6" t="s">
        <v>373</v>
      </c>
      <c r="AK6" t="s">
        <v>1154</v>
      </c>
      <c r="AL6" t="s">
        <v>1155</v>
      </c>
      <c r="AM6" t="s">
        <v>1225</v>
      </c>
      <c r="AN6" t="s">
        <v>1226</v>
      </c>
      <c r="AO6" t="s">
        <v>1227</v>
      </c>
      <c r="AP6" t="s">
        <v>293</v>
      </c>
      <c r="AT6" t="s">
        <v>294</v>
      </c>
      <c r="AU6" t="s">
        <v>295</v>
      </c>
      <c r="AW6" t="s">
        <v>296</v>
      </c>
      <c r="AX6">
        <v>1</v>
      </c>
      <c r="AY6" t="s">
        <v>297</v>
      </c>
      <c r="AZ6" t="s">
        <v>298</v>
      </c>
      <c r="BA6" t="s">
        <v>796</v>
      </c>
      <c r="BF6" t="s">
        <v>289</v>
      </c>
      <c r="BI6" t="s">
        <v>298</v>
      </c>
      <c r="BR6" t="s">
        <v>289</v>
      </c>
      <c r="BS6" t="s">
        <v>301</v>
      </c>
      <c r="BT6" t="s">
        <v>302</v>
      </c>
      <c r="BU6" t="s">
        <v>303</v>
      </c>
      <c r="BX6" t="s">
        <v>867</v>
      </c>
      <c r="BY6" t="s">
        <v>298</v>
      </c>
      <c r="CC6" t="s">
        <v>309</v>
      </c>
      <c r="CK6" t="s">
        <v>335</v>
      </c>
      <c r="CM6" t="s">
        <v>298</v>
      </c>
      <c r="CO6" t="s">
        <v>312</v>
      </c>
      <c r="CT6" t="s">
        <v>289</v>
      </c>
      <c r="CX6" t="s">
        <v>316</v>
      </c>
      <c r="CZ6" t="s">
        <v>289</v>
      </c>
      <c r="DA6" t="s">
        <v>289</v>
      </c>
      <c r="DB6" t="s">
        <v>289</v>
      </c>
      <c r="DC6" t="s">
        <v>289</v>
      </c>
      <c r="DI6" t="s">
        <v>289</v>
      </c>
      <c r="DL6" t="s">
        <v>773</v>
      </c>
      <c r="DM6" t="s">
        <v>376</v>
      </c>
      <c r="DN6" t="s">
        <v>304</v>
      </c>
      <c r="DS6" t="s">
        <v>289</v>
      </c>
      <c r="DT6" t="s">
        <v>289</v>
      </c>
      <c r="DU6" t="s">
        <v>318</v>
      </c>
      <c r="DV6" t="s">
        <v>289</v>
      </c>
      <c r="DX6" t="s">
        <v>319</v>
      </c>
      <c r="EA6" t="s">
        <v>289</v>
      </c>
    </row>
    <row r="7" spans="1:283" x14ac:dyDescent="0.25">
      <c r="A7">
        <v>28830946</v>
      </c>
      <c r="B7">
        <v>11309426</v>
      </c>
      <c r="C7" t="s">
        <v>1253</v>
      </c>
      <c r="D7" t="s">
        <v>1168</v>
      </c>
      <c r="E7" t="s">
        <v>1169</v>
      </c>
      <c r="G7" s="1">
        <v>43320</v>
      </c>
      <c r="I7" t="s">
        <v>286</v>
      </c>
      <c r="J7" t="s">
        <v>287</v>
      </c>
      <c r="K7" t="s">
        <v>288</v>
      </c>
      <c r="Q7" t="s">
        <v>289</v>
      </c>
      <c r="R7" t="s">
        <v>1254</v>
      </c>
      <c r="S7" t="s">
        <v>1255</v>
      </c>
      <c r="T7" t="s">
        <v>1256</v>
      </c>
      <c r="U7" t="s">
        <v>1256</v>
      </c>
      <c r="AC7" t="s">
        <v>1221</v>
      </c>
      <c r="AD7" t="s">
        <v>1222</v>
      </c>
      <c r="AE7" t="s">
        <v>1257</v>
      </c>
      <c r="AF7" t="s">
        <v>1258</v>
      </c>
      <c r="AG7" t="s">
        <v>290</v>
      </c>
      <c r="AI7" t="s">
        <v>291</v>
      </c>
      <c r="AK7" t="s">
        <v>1154</v>
      </c>
      <c r="AL7" t="s">
        <v>1155</v>
      </c>
      <c r="AM7" t="s">
        <v>1225</v>
      </c>
      <c r="AN7" t="s">
        <v>1226</v>
      </c>
      <c r="AO7" t="s">
        <v>1227</v>
      </c>
      <c r="AP7" t="s">
        <v>293</v>
      </c>
      <c r="AT7" t="s">
        <v>294</v>
      </c>
      <c r="AU7" t="s">
        <v>295</v>
      </c>
      <c r="AW7" t="s">
        <v>296</v>
      </c>
      <c r="AX7">
        <v>1</v>
      </c>
      <c r="AY7" t="s">
        <v>297</v>
      </c>
      <c r="AZ7" t="s">
        <v>298</v>
      </c>
      <c r="BA7" t="s">
        <v>796</v>
      </c>
      <c r="BF7" t="s">
        <v>289</v>
      </c>
      <c r="BI7" t="s">
        <v>298</v>
      </c>
      <c r="BR7" t="s">
        <v>289</v>
      </c>
      <c r="BS7" t="s">
        <v>301</v>
      </c>
      <c r="BT7" t="s">
        <v>302</v>
      </c>
      <c r="BU7" t="s">
        <v>303</v>
      </c>
      <c r="BX7" t="s">
        <v>867</v>
      </c>
      <c r="BY7" t="s">
        <v>298</v>
      </c>
      <c r="CC7" t="s">
        <v>309</v>
      </c>
      <c r="CK7" t="s">
        <v>335</v>
      </c>
      <c r="CM7" t="s">
        <v>298</v>
      </c>
      <c r="CO7" t="s">
        <v>312</v>
      </c>
      <c r="CT7" t="s">
        <v>289</v>
      </c>
      <c r="CX7" t="s">
        <v>316</v>
      </c>
      <c r="CZ7" t="s">
        <v>289</v>
      </c>
      <c r="DA7" t="s">
        <v>289</v>
      </c>
      <c r="DB7" t="s">
        <v>289</v>
      </c>
      <c r="DC7" t="s">
        <v>289</v>
      </c>
      <c r="DI7" t="s">
        <v>289</v>
      </c>
      <c r="DL7" t="s">
        <v>289</v>
      </c>
      <c r="DM7" t="s">
        <v>317</v>
      </c>
      <c r="DS7" t="s">
        <v>289</v>
      </c>
      <c r="DT7" t="s">
        <v>289</v>
      </c>
      <c r="DU7" t="s">
        <v>318</v>
      </c>
      <c r="DV7" t="s">
        <v>289</v>
      </c>
      <c r="DX7" t="s">
        <v>319</v>
      </c>
      <c r="EA7" t="s">
        <v>294</v>
      </c>
    </row>
    <row r="8" spans="1:283" x14ac:dyDescent="0.25">
      <c r="A8">
        <v>28831062</v>
      </c>
      <c r="B8">
        <v>10238528</v>
      </c>
      <c r="C8" t="s">
        <v>1259</v>
      </c>
      <c r="D8" t="s">
        <v>1170</v>
      </c>
      <c r="E8" t="s">
        <v>1171</v>
      </c>
      <c r="F8" t="s">
        <v>1172</v>
      </c>
      <c r="G8" s="1">
        <v>43417</v>
      </c>
      <c r="I8" t="s">
        <v>286</v>
      </c>
      <c r="J8" t="s">
        <v>287</v>
      </c>
      <c r="K8" t="s">
        <v>288</v>
      </c>
      <c r="Q8" t="s">
        <v>289</v>
      </c>
      <c r="R8" t="s">
        <v>1260</v>
      </c>
      <c r="S8" t="s">
        <v>1261</v>
      </c>
      <c r="T8" t="s">
        <v>1262</v>
      </c>
      <c r="U8" t="s">
        <v>1262</v>
      </c>
      <c r="AC8" t="s">
        <v>1221</v>
      </c>
      <c r="AD8" t="s">
        <v>1222</v>
      </c>
      <c r="AE8" t="s">
        <v>1263</v>
      </c>
      <c r="AF8" t="s">
        <v>1264</v>
      </c>
      <c r="AG8" t="s">
        <v>290</v>
      </c>
      <c r="AI8" t="s">
        <v>291</v>
      </c>
      <c r="AK8" t="s">
        <v>1154</v>
      </c>
      <c r="AL8" t="s">
        <v>1155</v>
      </c>
      <c r="AM8" t="s">
        <v>1225</v>
      </c>
      <c r="AN8" t="s">
        <v>1226</v>
      </c>
      <c r="AO8" t="s">
        <v>1227</v>
      </c>
      <c r="AP8" t="s">
        <v>293</v>
      </c>
      <c r="AT8" t="s">
        <v>294</v>
      </c>
      <c r="AU8" t="s">
        <v>295</v>
      </c>
      <c r="AW8" t="s">
        <v>296</v>
      </c>
      <c r="AX8">
        <v>1</v>
      </c>
      <c r="AY8" t="s">
        <v>297</v>
      </c>
      <c r="AZ8" t="s">
        <v>298</v>
      </c>
      <c r="BA8" t="s">
        <v>796</v>
      </c>
      <c r="BF8" t="s">
        <v>289</v>
      </c>
      <c r="BI8" t="s">
        <v>298</v>
      </c>
      <c r="BR8" t="s">
        <v>289</v>
      </c>
      <c r="BS8" t="s">
        <v>301</v>
      </c>
      <c r="BT8" t="s">
        <v>302</v>
      </c>
      <c r="BU8" t="s">
        <v>303</v>
      </c>
      <c r="BX8" t="s">
        <v>867</v>
      </c>
      <c r="BY8" t="s">
        <v>298</v>
      </c>
      <c r="CC8" t="s">
        <v>309</v>
      </c>
      <c r="CK8" t="s">
        <v>335</v>
      </c>
      <c r="CM8" t="s">
        <v>298</v>
      </c>
      <c r="CO8" t="s">
        <v>312</v>
      </c>
      <c r="CT8" t="s">
        <v>289</v>
      </c>
      <c r="CX8" t="s">
        <v>316</v>
      </c>
      <c r="CZ8" t="s">
        <v>289</v>
      </c>
      <c r="DA8" t="s">
        <v>289</v>
      </c>
      <c r="DB8" t="s">
        <v>289</v>
      </c>
      <c r="DC8" t="s">
        <v>289</v>
      </c>
      <c r="DI8" t="s">
        <v>289</v>
      </c>
      <c r="DL8" t="s">
        <v>289</v>
      </c>
      <c r="DM8" t="s">
        <v>317</v>
      </c>
      <c r="DS8" t="s">
        <v>289</v>
      </c>
      <c r="DT8" t="s">
        <v>289</v>
      </c>
      <c r="DU8" t="s">
        <v>318</v>
      </c>
      <c r="DV8" t="s">
        <v>289</v>
      </c>
      <c r="DX8" t="s">
        <v>319</v>
      </c>
      <c r="EA8" t="s">
        <v>289</v>
      </c>
    </row>
    <row r="9" spans="1:283" x14ac:dyDescent="0.25">
      <c r="A9">
        <v>28831233</v>
      </c>
      <c r="B9">
        <v>11231006</v>
      </c>
      <c r="C9" t="s">
        <v>1265</v>
      </c>
      <c r="D9" t="s">
        <v>1173</v>
      </c>
      <c r="E9" t="s">
        <v>837</v>
      </c>
      <c r="F9" t="s">
        <v>1116</v>
      </c>
      <c r="G9" s="1">
        <v>43584</v>
      </c>
      <c r="I9" t="s">
        <v>286</v>
      </c>
      <c r="J9" t="s">
        <v>287</v>
      </c>
      <c r="K9" t="s">
        <v>288</v>
      </c>
      <c r="Q9" t="s">
        <v>289</v>
      </c>
      <c r="R9" t="s">
        <v>1266</v>
      </c>
      <c r="S9" t="s">
        <v>1267</v>
      </c>
      <c r="T9" t="s">
        <v>1268</v>
      </c>
      <c r="U9" t="s">
        <v>1268</v>
      </c>
      <c r="AC9" t="s">
        <v>1221</v>
      </c>
      <c r="AD9" t="s">
        <v>1222</v>
      </c>
      <c r="AE9" t="s">
        <v>1269</v>
      </c>
      <c r="AF9" t="s">
        <v>1270</v>
      </c>
      <c r="AG9" t="s">
        <v>290</v>
      </c>
      <c r="AI9" t="s">
        <v>291</v>
      </c>
      <c r="AK9" t="s">
        <v>1154</v>
      </c>
      <c r="AL9" t="s">
        <v>1155</v>
      </c>
      <c r="AM9" t="s">
        <v>1225</v>
      </c>
      <c r="AN9" t="s">
        <v>1226</v>
      </c>
      <c r="AO9" t="s">
        <v>1227</v>
      </c>
      <c r="AP9" t="s">
        <v>293</v>
      </c>
      <c r="AT9" t="s">
        <v>294</v>
      </c>
      <c r="AU9" t="s">
        <v>295</v>
      </c>
      <c r="AW9" t="s">
        <v>296</v>
      </c>
      <c r="AX9">
        <v>1</v>
      </c>
      <c r="AY9" t="s">
        <v>297</v>
      </c>
      <c r="AZ9" t="s">
        <v>298</v>
      </c>
      <c r="BA9" t="s">
        <v>796</v>
      </c>
      <c r="BF9" t="s">
        <v>289</v>
      </c>
      <c r="BI9" t="s">
        <v>298</v>
      </c>
      <c r="BR9" t="s">
        <v>289</v>
      </c>
      <c r="BS9" t="s">
        <v>301</v>
      </c>
      <c r="BT9" t="s">
        <v>302</v>
      </c>
      <c r="BU9" t="s">
        <v>303</v>
      </c>
      <c r="BX9" t="s">
        <v>867</v>
      </c>
      <c r="BY9" t="s">
        <v>298</v>
      </c>
      <c r="CC9" t="s">
        <v>309</v>
      </c>
      <c r="CK9" t="s">
        <v>335</v>
      </c>
      <c r="CM9" t="s">
        <v>298</v>
      </c>
      <c r="CO9" t="s">
        <v>312</v>
      </c>
      <c r="CT9" t="s">
        <v>289</v>
      </c>
      <c r="CX9" t="s">
        <v>316</v>
      </c>
      <c r="CZ9" t="s">
        <v>289</v>
      </c>
      <c r="DA9" t="s">
        <v>289</v>
      </c>
      <c r="DB9" t="s">
        <v>289</v>
      </c>
      <c r="DC9" t="s">
        <v>289</v>
      </c>
      <c r="DI9" t="s">
        <v>289</v>
      </c>
      <c r="DL9" t="s">
        <v>289</v>
      </c>
      <c r="DM9" t="s">
        <v>317</v>
      </c>
      <c r="DS9" t="s">
        <v>289</v>
      </c>
      <c r="DT9" t="s">
        <v>289</v>
      </c>
      <c r="DU9" t="s">
        <v>318</v>
      </c>
      <c r="DV9" t="s">
        <v>289</v>
      </c>
      <c r="DX9" t="s">
        <v>319</v>
      </c>
      <c r="EA9" t="s">
        <v>289</v>
      </c>
    </row>
    <row r="10" spans="1:283" x14ac:dyDescent="0.25">
      <c r="A10">
        <v>28831428</v>
      </c>
      <c r="B10">
        <v>11074963</v>
      </c>
      <c r="C10" t="s">
        <v>1271</v>
      </c>
      <c r="D10" t="s">
        <v>1174</v>
      </c>
      <c r="E10" t="s">
        <v>889</v>
      </c>
      <c r="F10" t="s">
        <v>1175</v>
      </c>
      <c r="G10" s="1">
        <v>43454</v>
      </c>
      <c r="I10" t="s">
        <v>353</v>
      </c>
      <c r="J10" t="s">
        <v>287</v>
      </c>
      <c r="K10" t="s">
        <v>288</v>
      </c>
      <c r="Q10" t="s">
        <v>289</v>
      </c>
      <c r="R10" t="s">
        <v>1272</v>
      </c>
      <c r="S10" t="s">
        <v>1273</v>
      </c>
      <c r="T10" t="s">
        <v>1274</v>
      </c>
      <c r="U10" t="s">
        <v>1274</v>
      </c>
      <c r="AC10" t="s">
        <v>1221</v>
      </c>
      <c r="AD10" t="s">
        <v>1222</v>
      </c>
      <c r="AE10" t="s">
        <v>1275</v>
      </c>
      <c r="AF10" t="s">
        <v>1276</v>
      </c>
      <c r="AG10" t="s">
        <v>290</v>
      </c>
      <c r="AI10" t="s">
        <v>291</v>
      </c>
      <c r="AK10" t="s">
        <v>1154</v>
      </c>
      <c r="AL10" t="s">
        <v>1155</v>
      </c>
      <c r="AM10" t="s">
        <v>1225</v>
      </c>
      <c r="AN10" t="s">
        <v>1226</v>
      </c>
      <c r="AO10" t="s">
        <v>1227</v>
      </c>
      <c r="AP10" t="s">
        <v>293</v>
      </c>
      <c r="AT10" t="s">
        <v>294</v>
      </c>
      <c r="AU10" t="s">
        <v>295</v>
      </c>
      <c r="AW10" t="s">
        <v>296</v>
      </c>
      <c r="AX10">
        <v>1</v>
      </c>
      <c r="AY10" t="s">
        <v>297</v>
      </c>
      <c r="AZ10" t="s">
        <v>298</v>
      </c>
      <c r="BA10" t="s">
        <v>796</v>
      </c>
      <c r="BF10" t="s">
        <v>289</v>
      </c>
      <c r="BI10" t="s">
        <v>298</v>
      </c>
      <c r="BR10" t="s">
        <v>289</v>
      </c>
      <c r="BS10" t="s">
        <v>301</v>
      </c>
      <c r="BT10" t="s">
        <v>302</v>
      </c>
      <c r="BU10" t="s">
        <v>303</v>
      </c>
      <c r="BX10" t="s">
        <v>867</v>
      </c>
      <c r="BY10" t="s">
        <v>298</v>
      </c>
      <c r="CC10" t="s">
        <v>309</v>
      </c>
      <c r="CK10" t="s">
        <v>335</v>
      </c>
      <c r="CM10" t="s">
        <v>298</v>
      </c>
      <c r="CO10" t="s">
        <v>312</v>
      </c>
      <c r="CT10" t="s">
        <v>289</v>
      </c>
      <c r="CX10" t="s">
        <v>316</v>
      </c>
      <c r="CZ10" t="s">
        <v>289</v>
      </c>
      <c r="DA10" t="s">
        <v>289</v>
      </c>
      <c r="DB10" t="s">
        <v>289</v>
      </c>
      <c r="DC10" t="s">
        <v>289</v>
      </c>
      <c r="DI10" t="s">
        <v>289</v>
      </c>
      <c r="DL10" t="s">
        <v>289</v>
      </c>
      <c r="DM10" t="s">
        <v>317</v>
      </c>
      <c r="DS10" t="s">
        <v>289</v>
      </c>
      <c r="DT10" t="s">
        <v>289</v>
      </c>
      <c r="DU10" t="s">
        <v>318</v>
      </c>
      <c r="DV10" t="s">
        <v>289</v>
      </c>
      <c r="DX10" t="s">
        <v>319</v>
      </c>
      <c r="EA10" t="s">
        <v>289</v>
      </c>
    </row>
    <row r="11" spans="1:283" x14ac:dyDescent="0.25">
      <c r="A11">
        <v>28831548</v>
      </c>
      <c r="B11">
        <v>11474913</v>
      </c>
      <c r="C11" t="s">
        <v>1277</v>
      </c>
      <c r="D11" t="s">
        <v>790</v>
      </c>
      <c r="E11" t="s">
        <v>1176</v>
      </c>
      <c r="F11" t="s">
        <v>1177</v>
      </c>
      <c r="G11" s="1">
        <v>43465</v>
      </c>
      <c r="I11" t="s">
        <v>353</v>
      </c>
      <c r="J11" t="s">
        <v>287</v>
      </c>
      <c r="K11" t="s">
        <v>288</v>
      </c>
      <c r="Q11" t="s">
        <v>289</v>
      </c>
      <c r="R11" t="s">
        <v>1278</v>
      </c>
      <c r="S11" t="s">
        <v>1279</v>
      </c>
      <c r="T11" t="s">
        <v>1280</v>
      </c>
      <c r="U11" t="s">
        <v>1280</v>
      </c>
      <c r="AC11" t="s">
        <v>1221</v>
      </c>
      <c r="AD11" t="s">
        <v>1222</v>
      </c>
      <c r="AE11" t="s">
        <v>1281</v>
      </c>
      <c r="AF11" t="s">
        <v>1282</v>
      </c>
      <c r="AG11" t="s">
        <v>290</v>
      </c>
      <c r="AI11" t="s">
        <v>373</v>
      </c>
      <c r="AK11" t="s">
        <v>1154</v>
      </c>
      <c r="AL11" t="s">
        <v>1155</v>
      </c>
      <c r="AM11" t="s">
        <v>1225</v>
      </c>
      <c r="AN11" t="s">
        <v>1226</v>
      </c>
      <c r="AO11" t="s">
        <v>1227</v>
      </c>
      <c r="AP11" t="s">
        <v>293</v>
      </c>
      <c r="AT11" t="s">
        <v>294</v>
      </c>
      <c r="AU11" t="s">
        <v>295</v>
      </c>
      <c r="AW11" t="s">
        <v>296</v>
      </c>
      <c r="AX11">
        <v>1</v>
      </c>
      <c r="AY11" t="s">
        <v>297</v>
      </c>
      <c r="AZ11" t="s">
        <v>298</v>
      </c>
      <c r="BA11" t="s">
        <v>796</v>
      </c>
      <c r="BF11" t="s">
        <v>289</v>
      </c>
      <c r="BI11" t="s">
        <v>298</v>
      </c>
      <c r="BR11" t="s">
        <v>289</v>
      </c>
      <c r="BS11" t="s">
        <v>301</v>
      </c>
      <c r="BT11" t="s">
        <v>302</v>
      </c>
      <c r="BU11" t="s">
        <v>303</v>
      </c>
      <c r="BX11" t="s">
        <v>867</v>
      </c>
      <c r="BY11" t="s">
        <v>298</v>
      </c>
      <c r="CC11" t="s">
        <v>309</v>
      </c>
      <c r="CK11" t="s">
        <v>335</v>
      </c>
      <c r="CM11" t="s">
        <v>298</v>
      </c>
      <c r="CO11" t="s">
        <v>312</v>
      </c>
      <c r="CT11" t="s">
        <v>289</v>
      </c>
      <c r="CX11" t="s">
        <v>316</v>
      </c>
      <c r="CZ11" t="s">
        <v>289</v>
      </c>
      <c r="DA11" t="s">
        <v>289</v>
      </c>
      <c r="DB11" t="s">
        <v>289</v>
      </c>
      <c r="DC11" t="s">
        <v>289</v>
      </c>
      <c r="DI11" t="s">
        <v>289</v>
      </c>
      <c r="DL11" t="s">
        <v>773</v>
      </c>
      <c r="DM11" t="s">
        <v>1178</v>
      </c>
      <c r="DN11" t="s">
        <v>304</v>
      </c>
      <c r="DS11" t="s">
        <v>289</v>
      </c>
      <c r="DT11" t="s">
        <v>289</v>
      </c>
      <c r="DU11" t="s">
        <v>318</v>
      </c>
      <c r="DV11" t="s">
        <v>289</v>
      </c>
      <c r="DX11" t="s">
        <v>319</v>
      </c>
      <c r="EA11" t="s">
        <v>289</v>
      </c>
    </row>
    <row r="12" spans="1:283" x14ac:dyDescent="0.25">
      <c r="A12">
        <v>28831811</v>
      </c>
      <c r="B12">
        <v>10114311</v>
      </c>
      <c r="C12" t="s">
        <v>1283</v>
      </c>
      <c r="D12" t="s">
        <v>1179</v>
      </c>
      <c r="E12" t="s">
        <v>540</v>
      </c>
      <c r="F12" t="s">
        <v>1180</v>
      </c>
      <c r="G12" s="1">
        <v>43157</v>
      </c>
      <c r="I12" t="s">
        <v>286</v>
      </c>
      <c r="J12" t="s">
        <v>287</v>
      </c>
      <c r="K12" t="s">
        <v>288</v>
      </c>
      <c r="Q12" t="s">
        <v>289</v>
      </c>
      <c r="R12" t="s">
        <v>1284</v>
      </c>
      <c r="S12" t="s">
        <v>1285</v>
      </c>
      <c r="T12" t="s">
        <v>1286</v>
      </c>
      <c r="U12" t="s">
        <v>1286</v>
      </c>
      <c r="AC12" t="s">
        <v>1221</v>
      </c>
      <c r="AD12" t="s">
        <v>1222</v>
      </c>
      <c r="AE12" t="s">
        <v>1287</v>
      </c>
      <c r="AF12" t="s">
        <v>1288</v>
      </c>
      <c r="AG12" t="s">
        <v>290</v>
      </c>
      <c r="AI12" t="s">
        <v>291</v>
      </c>
      <c r="AK12" t="s">
        <v>1154</v>
      </c>
      <c r="AL12" t="s">
        <v>1155</v>
      </c>
      <c r="AM12" t="s">
        <v>1225</v>
      </c>
      <c r="AN12" t="s">
        <v>1226</v>
      </c>
      <c r="AO12" t="s">
        <v>1227</v>
      </c>
      <c r="AP12" t="s">
        <v>293</v>
      </c>
      <c r="AT12" t="s">
        <v>294</v>
      </c>
      <c r="AU12" t="s">
        <v>295</v>
      </c>
      <c r="AW12" t="s">
        <v>296</v>
      </c>
      <c r="AX12">
        <v>1</v>
      </c>
      <c r="AY12" t="s">
        <v>297</v>
      </c>
      <c r="AZ12" t="s">
        <v>298</v>
      </c>
      <c r="BA12" t="s">
        <v>796</v>
      </c>
      <c r="BF12" t="s">
        <v>289</v>
      </c>
      <c r="BI12" t="s">
        <v>298</v>
      </c>
      <c r="BR12" t="s">
        <v>289</v>
      </c>
      <c r="BS12" t="s">
        <v>301</v>
      </c>
      <c r="BT12" t="s">
        <v>302</v>
      </c>
      <c r="BU12" t="s">
        <v>303</v>
      </c>
      <c r="BX12" t="s">
        <v>867</v>
      </c>
      <c r="BY12" t="s">
        <v>298</v>
      </c>
      <c r="CC12" t="s">
        <v>309</v>
      </c>
      <c r="CK12" t="s">
        <v>335</v>
      </c>
      <c r="CM12" t="s">
        <v>298</v>
      </c>
      <c r="CO12" t="s">
        <v>312</v>
      </c>
      <c r="CT12" t="s">
        <v>289</v>
      </c>
      <c r="CX12" t="s">
        <v>316</v>
      </c>
      <c r="CZ12" t="s">
        <v>289</v>
      </c>
      <c r="DA12" t="s">
        <v>289</v>
      </c>
      <c r="DB12" t="s">
        <v>289</v>
      </c>
      <c r="DC12" t="s">
        <v>289</v>
      </c>
      <c r="DI12" t="s">
        <v>289</v>
      </c>
      <c r="DL12" t="s">
        <v>723</v>
      </c>
      <c r="DM12" t="s">
        <v>724</v>
      </c>
      <c r="DN12" t="s">
        <v>1181</v>
      </c>
      <c r="DP12" t="s">
        <v>1289</v>
      </c>
      <c r="DR12" t="s">
        <v>1290</v>
      </c>
      <c r="DS12" t="s">
        <v>289</v>
      </c>
      <c r="DT12" t="s">
        <v>289</v>
      </c>
      <c r="DU12" t="s">
        <v>318</v>
      </c>
      <c r="DV12" t="s">
        <v>289</v>
      </c>
      <c r="DX12" t="s">
        <v>319</v>
      </c>
      <c r="EA12" t="s">
        <v>289</v>
      </c>
    </row>
    <row r="13" spans="1:283" x14ac:dyDescent="0.25">
      <c r="A13">
        <v>28832016</v>
      </c>
      <c r="B13">
        <v>12426938</v>
      </c>
      <c r="C13" t="s">
        <v>1291</v>
      </c>
      <c r="D13" t="s">
        <v>576</v>
      </c>
      <c r="E13" t="s">
        <v>653</v>
      </c>
      <c r="F13" t="s">
        <v>578</v>
      </c>
      <c r="G13" s="1">
        <v>43504</v>
      </c>
      <c r="I13" t="s">
        <v>353</v>
      </c>
      <c r="J13" t="s">
        <v>287</v>
      </c>
      <c r="K13" t="s">
        <v>288</v>
      </c>
      <c r="Q13" t="s">
        <v>289</v>
      </c>
      <c r="R13" t="s">
        <v>1292</v>
      </c>
      <c r="S13" t="s">
        <v>1293</v>
      </c>
      <c r="T13" t="s">
        <v>1294</v>
      </c>
      <c r="U13" t="s">
        <v>1294</v>
      </c>
      <c r="AC13" t="s">
        <v>1221</v>
      </c>
      <c r="AD13" t="s">
        <v>1222</v>
      </c>
      <c r="AE13" t="s">
        <v>1295</v>
      </c>
      <c r="AF13" t="s">
        <v>1296</v>
      </c>
      <c r="AG13" t="s">
        <v>290</v>
      </c>
      <c r="AI13" t="s">
        <v>373</v>
      </c>
      <c r="AK13" t="s">
        <v>1154</v>
      </c>
      <c r="AL13" t="s">
        <v>1155</v>
      </c>
      <c r="AM13" t="s">
        <v>1225</v>
      </c>
      <c r="AN13" t="s">
        <v>1226</v>
      </c>
      <c r="AO13" t="s">
        <v>1227</v>
      </c>
      <c r="AP13" t="s">
        <v>293</v>
      </c>
      <c r="AT13" t="s">
        <v>294</v>
      </c>
      <c r="AU13" t="s">
        <v>295</v>
      </c>
      <c r="AW13" t="s">
        <v>296</v>
      </c>
      <c r="AX13">
        <v>1</v>
      </c>
      <c r="AY13" t="s">
        <v>297</v>
      </c>
      <c r="AZ13" t="s">
        <v>298</v>
      </c>
      <c r="BA13" t="s">
        <v>796</v>
      </c>
      <c r="BF13" t="s">
        <v>289</v>
      </c>
      <c r="BI13" t="s">
        <v>298</v>
      </c>
      <c r="BR13" t="s">
        <v>289</v>
      </c>
      <c r="BS13" t="s">
        <v>301</v>
      </c>
      <c r="BT13" t="s">
        <v>302</v>
      </c>
      <c r="BU13" t="s">
        <v>303</v>
      </c>
      <c r="BX13" t="s">
        <v>867</v>
      </c>
      <c r="BY13" t="s">
        <v>298</v>
      </c>
      <c r="CC13" t="s">
        <v>309</v>
      </c>
      <c r="CK13" t="s">
        <v>335</v>
      </c>
      <c r="CM13" t="s">
        <v>298</v>
      </c>
      <c r="CO13" t="s">
        <v>312</v>
      </c>
      <c r="CT13" t="s">
        <v>289</v>
      </c>
      <c r="CX13" t="s">
        <v>316</v>
      </c>
      <c r="CZ13" t="s">
        <v>289</v>
      </c>
      <c r="DA13" t="s">
        <v>289</v>
      </c>
      <c r="DB13" t="s">
        <v>289</v>
      </c>
      <c r="DC13" t="s">
        <v>289</v>
      </c>
      <c r="DI13" t="s">
        <v>289</v>
      </c>
      <c r="DL13" t="s">
        <v>289</v>
      </c>
      <c r="DM13" t="s">
        <v>317</v>
      </c>
      <c r="DS13" t="s">
        <v>289</v>
      </c>
      <c r="DT13" t="s">
        <v>289</v>
      </c>
      <c r="DU13" t="s">
        <v>318</v>
      </c>
      <c r="DV13" t="s">
        <v>289</v>
      </c>
      <c r="DX13" t="s">
        <v>319</v>
      </c>
      <c r="EA13" t="s">
        <v>294</v>
      </c>
    </row>
    <row r="14" spans="1:283" x14ac:dyDescent="0.25">
      <c r="A14">
        <v>28833223</v>
      </c>
      <c r="B14">
        <v>10120541</v>
      </c>
      <c r="C14" t="s">
        <v>1297</v>
      </c>
      <c r="D14" t="s">
        <v>587</v>
      </c>
      <c r="E14" t="s">
        <v>1182</v>
      </c>
      <c r="F14" t="s">
        <v>1183</v>
      </c>
      <c r="G14" s="1">
        <v>43132</v>
      </c>
      <c r="I14" t="s">
        <v>353</v>
      </c>
      <c r="J14" t="s">
        <v>287</v>
      </c>
      <c r="K14" t="s">
        <v>288</v>
      </c>
      <c r="Q14" t="s">
        <v>289</v>
      </c>
      <c r="R14" t="s">
        <v>1298</v>
      </c>
      <c r="S14" t="s">
        <v>1299</v>
      </c>
      <c r="T14" t="s">
        <v>1300</v>
      </c>
      <c r="U14" t="s">
        <v>1300</v>
      </c>
      <c r="AC14" t="s">
        <v>1221</v>
      </c>
      <c r="AD14" t="s">
        <v>1222</v>
      </c>
      <c r="AE14" t="s">
        <v>1301</v>
      </c>
      <c r="AF14" t="s">
        <v>1302</v>
      </c>
      <c r="AG14" t="s">
        <v>290</v>
      </c>
      <c r="AI14" t="s">
        <v>291</v>
      </c>
      <c r="AK14" t="s">
        <v>1154</v>
      </c>
      <c r="AL14" t="s">
        <v>1155</v>
      </c>
      <c r="AM14" t="s">
        <v>1225</v>
      </c>
      <c r="AN14" t="s">
        <v>1226</v>
      </c>
      <c r="AO14" t="s">
        <v>1227</v>
      </c>
      <c r="AP14" t="s">
        <v>293</v>
      </c>
      <c r="AT14" t="s">
        <v>294</v>
      </c>
      <c r="AU14" t="s">
        <v>295</v>
      </c>
      <c r="AW14" t="s">
        <v>296</v>
      </c>
      <c r="AX14">
        <v>1</v>
      </c>
      <c r="AY14" t="s">
        <v>297</v>
      </c>
      <c r="AZ14" t="s">
        <v>298</v>
      </c>
      <c r="BA14" t="s">
        <v>796</v>
      </c>
      <c r="BF14" t="s">
        <v>289</v>
      </c>
      <c r="BI14" t="s">
        <v>298</v>
      </c>
      <c r="BR14" t="s">
        <v>289</v>
      </c>
      <c r="BS14" t="s">
        <v>301</v>
      </c>
      <c r="BT14" t="s">
        <v>302</v>
      </c>
      <c r="BU14" t="s">
        <v>303</v>
      </c>
      <c r="BX14" t="s">
        <v>867</v>
      </c>
      <c r="BY14" t="s">
        <v>298</v>
      </c>
      <c r="CC14" t="s">
        <v>309</v>
      </c>
      <c r="CK14" t="s">
        <v>335</v>
      </c>
      <c r="CM14" t="s">
        <v>298</v>
      </c>
      <c r="CO14" t="s">
        <v>312</v>
      </c>
      <c r="CT14" t="s">
        <v>289</v>
      </c>
      <c r="CX14" t="s">
        <v>316</v>
      </c>
      <c r="CZ14" t="s">
        <v>289</v>
      </c>
      <c r="DA14" t="s">
        <v>289</v>
      </c>
      <c r="DB14" t="s">
        <v>289</v>
      </c>
      <c r="DC14" t="s">
        <v>289</v>
      </c>
      <c r="DI14" t="s">
        <v>289</v>
      </c>
      <c r="DL14" t="s">
        <v>289</v>
      </c>
      <c r="DM14" t="s">
        <v>800</v>
      </c>
      <c r="DN14" t="s">
        <v>304</v>
      </c>
      <c r="DS14" t="s">
        <v>289</v>
      </c>
      <c r="DT14" t="s">
        <v>289</v>
      </c>
      <c r="DU14" t="s">
        <v>318</v>
      </c>
      <c r="DV14" t="s">
        <v>289</v>
      </c>
      <c r="DX14" t="s">
        <v>319</v>
      </c>
      <c r="EA14" t="s">
        <v>289</v>
      </c>
    </row>
    <row r="15" spans="1:283" x14ac:dyDescent="0.25">
      <c r="A15">
        <v>28833522</v>
      </c>
      <c r="B15">
        <v>11715366</v>
      </c>
      <c r="C15" t="s">
        <v>1303</v>
      </c>
      <c r="D15" t="s">
        <v>1184</v>
      </c>
      <c r="E15" t="s">
        <v>1185</v>
      </c>
      <c r="F15" t="s">
        <v>1186</v>
      </c>
      <c r="G15" s="1">
        <v>43262</v>
      </c>
      <c r="I15" t="s">
        <v>286</v>
      </c>
      <c r="J15" t="s">
        <v>287</v>
      </c>
      <c r="K15" t="s">
        <v>288</v>
      </c>
      <c r="Q15" t="s">
        <v>289</v>
      </c>
      <c r="R15" t="s">
        <v>1304</v>
      </c>
      <c r="S15" t="s">
        <v>1305</v>
      </c>
      <c r="T15" t="s">
        <v>1306</v>
      </c>
      <c r="U15" t="s">
        <v>1306</v>
      </c>
      <c r="AC15" t="s">
        <v>1221</v>
      </c>
      <c r="AD15" t="s">
        <v>1222</v>
      </c>
      <c r="AE15" t="s">
        <v>1307</v>
      </c>
      <c r="AF15" t="s">
        <v>1308</v>
      </c>
      <c r="AG15" t="s">
        <v>290</v>
      </c>
      <c r="AI15" t="s">
        <v>291</v>
      </c>
      <c r="AK15" t="s">
        <v>1154</v>
      </c>
      <c r="AL15" t="s">
        <v>1155</v>
      </c>
      <c r="AM15" t="s">
        <v>1225</v>
      </c>
      <c r="AN15" t="s">
        <v>1226</v>
      </c>
      <c r="AO15" t="s">
        <v>1227</v>
      </c>
      <c r="AP15" t="s">
        <v>293</v>
      </c>
      <c r="AT15" t="s">
        <v>294</v>
      </c>
      <c r="AU15" t="s">
        <v>295</v>
      </c>
      <c r="AW15" t="s">
        <v>296</v>
      </c>
      <c r="AX15">
        <v>1</v>
      </c>
      <c r="AY15" t="s">
        <v>297</v>
      </c>
      <c r="AZ15" t="s">
        <v>298</v>
      </c>
      <c r="BA15" t="s">
        <v>796</v>
      </c>
      <c r="BF15" t="s">
        <v>289</v>
      </c>
      <c r="BI15" t="s">
        <v>298</v>
      </c>
      <c r="BR15" t="s">
        <v>289</v>
      </c>
      <c r="BS15" t="s">
        <v>301</v>
      </c>
      <c r="BT15" t="s">
        <v>302</v>
      </c>
      <c r="BU15" t="s">
        <v>303</v>
      </c>
      <c r="BX15" t="s">
        <v>867</v>
      </c>
      <c r="BY15" t="s">
        <v>298</v>
      </c>
      <c r="CC15" t="s">
        <v>309</v>
      </c>
      <c r="CK15" t="s">
        <v>335</v>
      </c>
      <c r="CM15" t="s">
        <v>298</v>
      </c>
      <c r="CO15" t="s">
        <v>312</v>
      </c>
      <c r="CT15" t="s">
        <v>289</v>
      </c>
      <c r="CX15" t="s">
        <v>316</v>
      </c>
      <c r="CZ15" t="s">
        <v>289</v>
      </c>
      <c r="DA15" t="s">
        <v>289</v>
      </c>
      <c r="DB15" t="s">
        <v>289</v>
      </c>
      <c r="DC15" t="s">
        <v>289</v>
      </c>
      <c r="DI15" t="s">
        <v>289</v>
      </c>
      <c r="DL15" t="s">
        <v>289</v>
      </c>
      <c r="DM15" t="s">
        <v>317</v>
      </c>
      <c r="DS15" t="s">
        <v>289</v>
      </c>
      <c r="DT15" t="s">
        <v>289</v>
      </c>
      <c r="DU15" t="s">
        <v>318</v>
      </c>
      <c r="DV15" t="s">
        <v>289</v>
      </c>
      <c r="DW15" t="s">
        <v>601</v>
      </c>
      <c r="DX15" t="s">
        <v>368</v>
      </c>
      <c r="DY15" t="s">
        <v>472</v>
      </c>
      <c r="DZ15" t="s">
        <v>473</v>
      </c>
      <c r="EA15" t="s">
        <v>289</v>
      </c>
    </row>
    <row r="16" spans="1:283" x14ac:dyDescent="0.25">
      <c r="A16">
        <v>29141264</v>
      </c>
      <c r="B16">
        <v>11232319</v>
      </c>
      <c r="C16" t="s">
        <v>1309</v>
      </c>
      <c r="D16" t="s">
        <v>1187</v>
      </c>
      <c r="E16" t="s">
        <v>1188</v>
      </c>
      <c r="F16" t="s">
        <v>1151</v>
      </c>
      <c r="G16" s="1">
        <v>43521</v>
      </c>
      <c r="I16" t="s">
        <v>286</v>
      </c>
      <c r="J16" t="s">
        <v>287</v>
      </c>
      <c r="K16" t="s">
        <v>288</v>
      </c>
      <c r="Q16" t="s">
        <v>289</v>
      </c>
      <c r="R16" t="s">
        <v>1310</v>
      </c>
      <c r="S16" t="s">
        <v>1311</v>
      </c>
      <c r="T16" t="s">
        <v>1312</v>
      </c>
      <c r="U16" t="s">
        <v>1312</v>
      </c>
      <c r="AC16" t="s">
        <v>1313</v>
      </c>
      <c r="AD16" t="s">
        <v>1314</v>
      </c>
      <c r="AE16" t="s">
        <v>1315</v>
      </c>
      <c r="AF16" t="s">
        <v>1316</v>
      </c>
      <c r="AG16" t="s">
        <v>290</v>
      </c>
      <c r="AI16" t="s">
        <v>291</v>
      </c>
      <c r="AK16" t="s">
        <v>1154</v>
      </c>
      <c r="AL16" t="s">
        <v>1155</v>
      </c>
      <c r="AM16" t="s">
        <v>1225</v>
      </c>
      <c r="AN16" t="s">
        <v>1226</v>
      </c>
      <c r="AO16" t="s">
        <v>1227</v>
      </c>
      <c r="AP16" t="s">
        <v>293</v>
      </c>
      <c r="AT16" t="s">
        <v>294</v>
      </c>
      <c r="AU16" t="s">
        <v>295</v>
      </c>
      <c r="AW16" t="s">
        <v>296</v>
      </c>
      <c r="AX16">
        <v>1</v>
      </c>
      <c r="AY16" t="s">
        <v>297</v>
      </c>
      <c r="AZ16" t="s">
        <v>298</v>
      </c>
      <c r="BA16" t="s">
        <v>349</v>
      </c>
      <c r="BF16" t="s">
        <v>294</v>
      </c>
      <c r="BG16" t="s">
        <v>300</v>
      </c>
      <c r="BI16" t="s">
        <v>298</v>
      </c>
      <c r="BR16" t="s">
        <v>289</v>
      </c>
      <c r="BS16" t="s">
        <v>301</v>
      </c>
      <c r="BT16" t="s">
        <v>302</v>
      </c>
      <c r="BU16" t="s">
        <v>303</v>
      </c>
      <c r="BX16" t="s">
        <v>867</v>
      </c>
      <c r="BY16" t="s">
        <v>298</v>
      </c>
      <c r="CC16" t="s">
        <v>309</v>
      </c>
      <c r="CK16" t="s">
        <v>335</v>
      </c>
      <c r="CM16" t="s">
        <v>298</v>
      </c>
      <c r="CO16" t="s">
        <v>312</v>
      </c>
      <c r="CT16" t="s">
        <v>289</v>
      </c>
      <c r="CX16" t="s">
        <v>316</v>
      </c>
      <c r="CZ16" t="s">
        <v>289</v>
      </c>
      <c r="DA16" t="s">
        <v>289</v>
      </c>
      <c r="DB16" t="s">
        <v>289</v>
      </c>
      <c r="DC16" t="s">
        <v>289</v>
      </c>
      <c r="DI16" t="s">
        <v>289</v>
      </c>
      <c r="DL16" t="s">
        <v>289</v>
      </c>
      <c r="DM16" t="s">
        <v>317</v>
      </c>
      <c r="DS16" t="s">
        <v>289</v>
      </c>
      <c r="DT16" t="s">
        <v>289</v>
      </c>
      <c r="DU16" t="s">
        <v>318</v>
      </c>
      <c r="DV16" t="s">
        <v>289</v>
      </c>
      <c r="DX16" t="s">
        <v>319</v>
      </c>
      <c r="EA16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1-11 сынып</vt:lpstr>
      <vt:lpstr>даярлық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Эльмира Халелова</cp:lastModifiedBy>
  <dcterms:modified xsi:type="dcterms:W3CDTF">2025-03-19T04:05:20Z</dcterms:modified>
</cp:coreProperties>
</file>